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berstufe\Documents\G8 - 2.Auflage\"/>
    </mc:Choice>
  </mc:AlternateContent>
  <xr:revisionPtr revIDLastSave="0" documentId="13_ncr:1_{18C05157-3FCC-4F11-B9B0-7DF602F3AE44}" xr6:coauthVersionLast="36" xr6:coauthVersionMax="36" xr10:uidLastSave="{00000000-0000-0000-0000-000000000000}"/>
  <bookViews>
    <workbookView xWindow="9555" yWindow="45" windowWidth="9600" windowHeight="12885" xr2:uid="{00000000-000D-0000-FFFF-FFFF00000000}"/>
  </bookViews>
  <sheets>
    <sheet name="1. Informationen zur Fächerwahl" sheetId="16" r:id="rId1"/>
    <sheet name="2. Wahl ausfüllen" sheetId="20" r:id="rId2"/>
    <sheet name="3. Druckversion der Fächerwahl" sheetId="22" r:id="rId3"/>
  </sheets>
  <definedNames>
    <definedName name="_xlnm.Print_Area" localSheetId="0">'1. Informationen zur Fächerwahl'!$B$2:$K$31</definedName>
    <definedName name="_xlnm.Print_Area" localSheetId="2">'3. Druckversion der Fächerwahl'!$A$1:$M$48</definedName>
  </definedNames>
  <calcPr calcId="191029"/>
</workbook>
</file>

<file path=xl/calcChain.xml><?xml version="1.0" encoding="utf-8"?>
<calcChain xmlns="http://schemas.openxmlformats.org/spreadsheetml/2006/main">
  <c r="N6" i="20" l="1"/>
  <c r="N28" i="20"/>
  <c r="AC82" i="20" l="1"/>
  <c r="AC63" i="20"/>
  <c r="AC64" i="20"/>
  <c r="AC74" i="20"/>
  <c r="AC75" i="20"/>
  <c r="AC76" i="20"/>
  <c r="AC77" i="20"/>
  <c r="AC78" i="20"/>
  <c r="AC79" i="20"/>
  <c r="AC80" i="20"/>
  <c r="AC81" i="20"/>
  <c r="AC83" i="20"/>
  <c r="AC84" i="20"/>
  <c r="E41" i="20"/>
  <c r="F41" i="20"/>
  <c r="AC60" i="20"/>
  <c r="M35" i="22"/>
  <c r="H35" i="22" s="1"/>
  <c r="M33" i="22"/>
  <c r="F33" i="22" s="1"/>
  <c r="M32" i="22"/>
  <c r="H32" i="22" s="1"/>
  <c r="M31" i="22"/>
  <c r="G31" i="22" s="1"/>
  <c r="M29" i="22"/>
  <c r="G29" i="22" s="1"/>
  <c r="M28" i="22"/>
  <c r="I28" i="22" s="1"/>
  <c r="M27" i="22"/>
  <c r="I27" i="22" s="1"/>
  <c r="M26" i="22"/>
  <c r="F26" i="22" s="1"/>
  <c r="M21" i="22"/>
  <c r="F21" i="22" s="1"/>
  <c r="M16" i="22"/>
  <c r="M15" i="22"/>
  <c r="M14" i="22"/>
  <c r="M11" i="22"/>
  <c r="I11" i="22" s="1"/>
  <c r="M10" i="22"/>
  <c r="I10" i="22" s="1"/>
  <c r="M9" i="22"/>
  <c r="I9" i="22" s="1"/>
  <c r="AC61" i="20"/>
  <c r="AC62" i="20"/>
  <c r="A6" i="22"/>
  <c r="N50" i="20"/>
  <c r="F30" i="20"/>
  <c r="I30" i="20" s="1"/>
  <c r="B30" i="20"/>
  <c r="M30" i="20" s="1"/>
  <c r="L21" i="22" s="1"/>
  <c r="AC73" i="20"/>
  <c r="M45" i="20"/>
  <c r="B31" i="22" s="1"/>
  <c r="M46" i="20"/>
  <c r="L32" i="22" s="1"/>
  <c r="M47" i="20"/>
  <c r="B32" i="22"/>
  <c r="M48" i="20"/>
  <c r="L33" i="22" s="1"/>
  <c r="M49" i="20"/>
  <c r="B33" i="22"/>
  <c r="M44" i="20"/>
  <c r="L31" i="22" s="1"/>
  <c r="Q34" i="20"/>
  <c r="Q32" i="20"/>
  <c r="F4" i="22"/>
  <c r="N45" i="20"/>
  <c r="Q25" i="20"/>
  <c r="N48" i="20"/>
  <c r="Q19" i="20"/>
  <c r="N44" i="20" s="1"/>
  <c r="Q20" i="20"/>
  <c r="N46" i="20"/>
  <c r="B39" i="22"/>
  <c r="B38" i="22"/>
  <c r="M25" i="22"/>
  <c r="G25" i="22" s="1"/>
  <c r="M24" i="22"/>
  <c r="I24" i="22" s="1"/>
  <c r="M23" i="22"/>
  <c r="I23" i="22" s="1"/>
  <c r="M22" i="22"/>
  <c r="G22" i="22" s="1"/>
  <c r="M20" i="22"/>
  <c r="H20" i="22" s="1"/>
  <c r="M19" i="22"/>
  <c r="I19" i="22" s="1"/>
  <c r="M18" i="22"/>
  <c r="I18" i="22" s="1"/>
  <c r="N40" i="20"/>
  <c r="N38" i="20"/>
  <c r="AC58" i="20"/>
  <c r="AC59" i="20"/>
  <c r="AC57" i="20"/>
  <c r="M4" i="22"/>
  <c r="N5" i="20"/>
  <c r="L4" i="22"/>
  <c r="L3" i="22"/>
  <c r="D6" i="22"/>
  <c r="P18" i="20"/>
  <c r="N18" i="20" s="1"/>
  <c r="F27" i="20"/>
  <c r="F26" i="20"/>
  <c r="L5" i="22"/>
  <c r="C5" i="22"/>
  <c r="C4" i="22"/>
  <c r="D43" i="20"/>
  <c r="D42" i="20"/>
  <c r="D41" i="20"/>
  <c r="I1" i="22"/>
  <c r="E43" i="20"/>
  <c r="L43" i="20" s="1"/>
  <c r="M36" i="22"/>
  <c r="F36" i="22" s="1"/>
  <c r="E42" i="20"/>
  <c r="F42" i="20" s="1"/>
  <c r="P37" i="20"/>
  <c r="N42" i="20" s="1"/>
  <c r="F20" i="20"/>
  <c r="G20" i="20" s="1"/>
  <c r="J20" i="20"/>
  <c r="H20" i="20"/>
  <c r="F19" i="20"/>
  <c r="J19" i="20" s="1"/>
  <c r="F18" i="20"/>
  <c r="H18" i="20" s="1"/>
  <c r="U18" i="20"/>
  <c r="V18" i="20"/>
  <c r="U19" i="20"/>
  <c r="V19" i="20" s="1"/>
  <c r="U20" i="20"/>
  <c r="V20" i="20" s="1"/>
  <c r="X18" i="20"/>
  <c r="Y18" i="20"/>
  <c r="X29" i="20"/>
  <c r="Y29" i="20" s="1"/>
  <c r="X19" i="20"/>
  <c r="Y19" i="20" s="1"/>
  <c r="X20" i="20"/>
  <c r="Y20" i="20" s="1"/>
  <c r="X21" i="20"/>
  <c r="Y21" i="20" s="1"/>
  <c r="X25" i="20"/>
  <c r="Y25" i="20" s="1"/>
  <c r="X30" i="20"/>
  <c r="X32" i="20"/>
  <c r="Y32" i="20" s="1"/>
  <c r="X33" i="20"/>
  <c r="Y33" i="20" s="1"/>
  <c r="X34" i="20"/>
  <c r="Y34" i="20" s="1"/>
  <c r="F29" i="20"/>
  <c r="K29" i="20"/>
  <c r="N30" i="20"/>
  <c r="P48" i="20"/>
  <c r="Q48" i="20" s="1"/>
  <c r="F48" i="20"/>
  <c r="G48" i="20"/>
  <c r="P46" i="20"/>
  <c r="Q46" i="20" s="1"/>
  <c r="F46" i="20"/>
  <c r="I46" i="20"/>
  <c r="F44" i="20"/>
  <c r="I44" i="20" s="1"/>
  <c r="K43" i="20"/>
  <c r="U34" i="20"/>
  <c r="V34" i="20" s="1"/>
  <c r="K34" i="20"/>
  <c r="L34" i="20"/>
  <c r="F34" i="20"/>
  <c r="J34" i="20"/>
  <c r="U33" i="20"/>
  <c r="V33" i="20" s="1"/>
  <c r="K33" i="20"/>
  <c r="L33" i="20"/>
  <c r="F33" i="20"/>
  <c r="J33" i="20" s="1"/>
  <c r="H33" i="20"/>
  <c r="K32" i="20"/>
  <c r="L32" i="20"/>
  <c r="F32" i="20"/>
  <c r="H32" i="20"/>
  <c r="K31" i="20"/>
  <c r="L31" i="20" s="1"/>
  <c r="F31" i="20"/>
  <c r="H31" i="20" s="1"/>
  <c r="F28" i="20"/>
  <c r="G28" i="20"/>
  <c r="Q27" i="20"/>
  <c r="N27" i="20"/>
  <c r="Q26" i="20"/>
  <c r="N26" i="20" s="1"/>
  <c r="V25" i="20"/>
  <c r="Q23" i="20"/>
  <c r="N23" i="20"/>
  <c r="F23" i="20"/>
  <c r="Q22" i="20"/>
  <c r="N22" i="20" s="1"/>
  <c r="F22" i="20"/>
  <c r="Q21" i="20"/>
  <c r="N21" i="20" s="1"/>
  <c r="F21" i="20"/>
  <c r="Y17" i="20"/>
  <c r="U17" i="20"/>
  <c r="Q17" i="20"/>
  <c r="N17" i="20"/>
  <c r="Y16" i="20"/>
  <c r="U16" i="20"/>
  <c r="Q16" i="20"/>
  <c r="N16" i="20"/>
  <c r="U29" i="20"/>
  <c r="V29" i="20" s="1"/>
  <c r="U30" i="20"/>
  <c r="V30" i="20" s="1"/>
  <c r="U32" i="20"/>
  <c r="V32" i="20" s="1"/>
  <c r="J29" i="22"/>
  <c r="K29" i="22"/>
  <c r="J28" i="22"/>
  <c r="K28" i="22"/>
  <c r="U28" i="20"/>
  <c r="V28" i="20" s="1"/>
  <c r="X26" i="20"/>
  <c r="Y26" i="20" s="1"/>
  <c r="X28" i="20"/>
  <c r="Y28" i="20" s="1"/>
  <c r="U23" i="20"/>
  <c r="V23" i="20" s="1"/>
  <c r="X22" i="20"/>
  <c r="Y22" i="20" s="1"/>
  <c r="U22" i="20"/>
  <c r="W22" i="20" s="1"/>
  <c r="X31" i="20"/>
  <c r="Y31" i="20" s="1"/>
  <c r="U27" i="20"/>
  <c r="V27" i="20" s="1"/>
  <c r="U31" i="20"/>
  <c r="V31" i="20" s="1"/>
  <c r="X27" i="20"/>
  <c r="Y27" i="20" s="1"/>
  <c r="X23" i="20"/>
  <c r="Y23" i="20" s="1"/>
  <c r="U21" i="20"/>
  <c r="V21" i="20" s="1"/>
  <c r="J48" i="20"/>
  <c r="H48" i="20"/>
  <c r="I48" i="20"/>
  <c r="G32" i="20"/>
  <c r="J32" i="20"/>
  <c r="L28" i="20"/>
  <c r="G29" i="20"/>
  <c r="J28" i="20"/>
  <c r="K28" i="20"/>
  <c r="U26" i="20"/>
  <c r="V26" i="20" s="1"/>
  <c r="H27" i="22"/>
  <c r="G33" i="22"/>
  <c r="H28" i="20"/>
  <c r="I32" i="20"/>
  <c r="F10" i="22"/>
  <c r="I28" i="20"/>
  <c r="G27" i="22"/>
  <c r="P33" i="20"/>
  <c r="Q33" i="20" s="1"/>
  <c r="N33" i="20" s="1"/>
  <c r="I34" i="20"/>
  <c r="G34" i="20"/>
  <c r="H34" i="20"/>
  <c r="L29" i="20"/>
  <c r="J29" i="20"/>
  <c r="I29" i="20"/>
  <c r="P28" i="20"/>
  <c r="Q28" i="20" s="1"/>
  <c r="H29" i="20"/>
  <c r="F27" i="22"/>
  <c r="J46" i="20"/>
  <c r="H46" i="20"/>
  <c r="G46" i="20"/>
  <c r="G32" i="22"/>
  <c r="K27" i="22"/>
  <c r="G26" i="22"/>
  <c r="G11" i="22"/>
  <c r="F11" i="22"/>
  <c r="I36" i="22"/>
  <c r="F43" i="20"/>
  <c r="J43" i="20" s="1"/>
  <c r="G41" i="20"/>
  <c r="I41" i="20"/>
  <c r="J41" i="20"/>
  <c r="H41" i="20"/>
  <c r="F35" i="22"/>
  <c r="H11" i="22" l="1"/>
  <c r="J18" i="20"/>
  <c r="G19" i="20"/>
  <c r="H30" i="20"/>
  <c r="B21" i="22"/>
  <c r="H19" i="20"/>
  <c r="I19" i="20"/>
  <c r="G30" i="20"/>
  <c r="L6" i="22"/>
  <c r="J30" i="20"/>
  <c r="G10" i="22"/>
  <c r="M34" i="22"/>
  <c r="I34" i="22" s="1"/>
  <c r="I33" i="20"/>
  <c r="F31" i="22"/>
  <c r="H31" i="22"/>
  <c r="I31" i="22"/>
  <c r="J44" i="20"/>
  <c r="H44" i="20"/>
  <c r="G44" i="20"/>
  <c r="G42" i="20"/>
  <c r="H42" i="20"/>
  <c r="J42" i="20"/>
  <c r="I42" i="20"/>
  <c r="G33" i="20"/>
  <c r="P31" i="20"/>
  <c r="Q31" i="20" s="1"/>
  <c r="N31" i="20" s="1"/>
  <c r="J31" i="20"/>
  <c r="I31" i="20"/>
  <c r="G31" i="20"/>
  <c r="H23" i="22"/>
  <c r="G19" i="22"/>
  <c r="G18" i="22"/>
  <c r="G43" i="20"/>
  <c r="H36" i="22"/>
  <c r="I43" i="20"/>
  <c r="H43" i="20"/>
  <c r="G36" i="22"/>
  <c r="Y46" i="20"/>
  <c r="AC46" i="20" s="1"/>
  <c r="Y48" i="20"/>
  <c r="AC48" i="20" s="1"/>
  <c r="N20" i="20"/>
  <c r="N19" i="20"/>
  <c r="Q18" i="20"/>
  <c r="Q37" i="20"/>
  <c r="I18" i="20"/>
  <c r="G18" i="20"/>
  <c r="I20" i="20"/>
  <c r="G35" i="22"/>
  <c r="H28" i="22"/>
  <c r="I29" i="22"/>
  <c r="I35" i="22"/>
  <c r="G28" i="22"/>
  <c r="H22" i="22"/>
  <c r="J27" i="22"/>
  <c r="F34" i="22"/>
  <c r="I33" i="22"/>
  <c r="H25" i="22"/>
  <c r="G21" i="22"/>
  <c r="H21" i="22"/>
  <c r="H10" i="22"/>
  <c r="G34" i="22"/>
  <c r="I21" i="22"/>
  <c r="G9" i="22"/>
  <c r="K24" i="22"/>
  <c r="I26" i="22"/>
  <c r="F9" i="22"/>
  <c r="I32" i="22"/>
  <c r="H9" i="22"/>
  <c r="J24" i="22"/>
  <c r="H26" i="22"/>
  <c r="H24" i="22"/>
  <c r="H33" i="22"/>
  <c r="F32" i="22"/>
  <c r="H18" i="22"/>
  <c r="F20" i="22"/>
  <c r="G23" i="22"/>
  <c r="I22" i="22"/>
  <c r="I25" i="22"/>
  <c r="F18" i="22"/>
  <c r="F22" i="22"/>
  <c r="F25" i="22"/>
  <c r="H29" i="22"/>
  <c r="F19" i="22"/>
  <c r="F23" i="22"/>
  <c r="C6" i="22"/>
  <c r="H34" i="22"/>
  <c r="H19" i="22"/>
  <c r="I20" i="22"/>
  <c r="F28" i="22"/>
  <c r="G24" i="22"/>
  <c r="G20" i="22"/>
  <c r="F29" i="22"/>
  <c r="F24" i="22"/>
  <c r="H50" i="20" l="1"/>
  <c r="J50" i="20"/>
  <c r="G50" i="20"/>
  <c r="Q36" i="20"/>
  <c r="Q39" i="20" s="1"/>
  <c r="I50" i="20"/>
  <c r="G40" i="22"/>
  <c r="F40" i="22"/>
  <c r="I40" i="22"/>
  <c r="H40" i="22"/>
  <c r="N37" i="20" l="1"/>
  <c r="G52" i="20"/>
  <c r="Q41" i="20" s="1"/>
  <c r="F41" i="22"/>
  <c r="N52" i="20" l="1"/>
  <c r="Q43" i="20"/>
  <c r="N43" i="20" s="1"/>
  <c r="N41" i="20"/>
</calcChain>
</file>

<file path=xl/sharedStrings.xml><?xml version="1.0" encoding="utf-8"?>
<sst xmlns="http://schemas.openxmlformats.org/spreadsheetml/2006/main" count="340" uniqueCount="239">
  <si>
    <t>Eingaben sind nur in den gelb unterlegten Feldern möglich.</t>
  </si>
  <si>
    <t>Fehlerkontrolle</t>
  </si>
  <si>
    <t>Fächer</t>
  </si>
  <si>
    <t>Wo.
std.</t>
  </si>
  <si>
    <t>möglich ist</t>
  </si>
  <si>
    <t>S/C
X/A/B*</t>
  </si>
  <si>
    <t>belegte Stunden</t>
  </si>
  <si>
    <t>Prior.</t>
  </si>
  <si>
    <t>Einbr.</t>
  </si>
  <si>
    <t>Hilfszahl</t>
  </si>
  <si>
    <t>0: kein Fehler</t>
  </si>
  <si>
    <t>11/1</t>
  </si>
  <si>
    <t>11/2</t>
  </si>
  <si>
    <t>12/1</t>
  </si>
  <si>
    <t>12/2</t>
  </si>
  <si>
    <t>1 o. mehr: Fehler</t>
  </si>
  <si>
    <t>Pflichtbereich:</t>
  </si>
  <si>
    <t>Deutsch</t>
  </si>
  <si>
    <t>S</t>
  </si>
  <si>
    <t>Mathematik</t>
  </si>
  <si>
    <t>S/C/X</t>
  </si>
  <si>
    <t>Katholisch</t>
  </si>
  <si>
    <t>Evangelisch</t>
  </si>
  <si>
    <t>Ethik</t>
  </si>
  <si>
    <t>Sport</t>
  </si>
  <si>
    <t>Wahlpflichtbereich:</t>
  </si>
  <si>
    <t>1. Fremdsprache:</t>
  </si>
  <si>
    <t>S/C</t>
  </si>
  <si>
    <t>1. Naturwiss.:</t>
  </si>
  <si>
    <t>2. Fremdsprache:</t>
  </si>
  <si>
    <t xml:space="preserve">Geographie </t>
  </si>
  <si>
    <t>Wirtschaft / Recht</t>
  </si>
  <si>
    <t>Kunst</t>
  </si>
  <si>
    <t>Musik</t>
  </si>
  <si>
    <t>Profilbereich:</t>
  </si>
  <si>
    <t>W-Seminar</t>
  </si>
  <si>
    <t>P-Seminar</t>
  </si>
  <si>
    <t>Additum Musik</t>
  </si>
  <si>
    <t>Additum Kunst</t>
  </si>
  <si>
    <t>Additum Sport</t>
  </si>
  <si>
    <t>zu wenig</t>
  </si>
  <si>
    <t>zu viel</t>
  </si>
  <si>
    <t>OK</t>
  </si>
  <si>
    <t>Es fehlt das dritte schriftliche Abiturfach (Belegung S)</t>
  </si>
  <si>
    <t>Es wurden zu viele Fächer für das schriftliche Abitur ausgewählt.</t>
  </si>
  <si>
    <t>Es wurden zu wenige Fächer für das mündliche Abitur ausgewählt (Belegung C)</t>
  </si>
  <si>
    <t>Es wurden zu viele Fächer für das mündliche Abitur ausgewählt.</t>
  </si>
  <si>
    <t>Summen</t>
  </si>
  <si>
    <t>B</t>
  </si>
  <si>
    <t>Summe</t>
  </si>
  <si>
    <t>Fehler in der Belegung</t>
  </si>
  <si>
    <t>Abiturfach in G/Rel/Wi/Geo?</t>
  </si>
  <si>
    <t>Fehler in Belegung + gesellschaftswiss. Abitur</t>
  </si>
  <si>
    <t>Fehler in Belegung oder in Abiturfächern</t>
  </si>
  <si>
    <t>Fehler Ku/Mu</t>
  </si>
  <si>
    <t>Fehler Wi/Geo</t>
  </si>
  <si>
    <t>Fehler 2. NW / Fspr.</t>
  </si>
  <si>
    <t>Fehler Belegg. 1. NW</t>
  </si>
  <si>
    <t>Fehler Belegg./Abiturfach 1. FSpr</t>
  </si>
  <si>
    <t>Fehler Belegg. Sport</t>
  </si>
  <si>
    <t>Fehler Belegg. G/Sk</t>
  </si>
  <si>
    <t>Fehler Belegg. Mathe</t>
  </si>
  <si>
    <t>Fehler Belegg. Deutsch</t>
  </si>
  <si>
    <t>für die Ausgabe der gewählten Abiturfächer</t>
  </si>
  <si>
    <t>schriftliches Abiturfach (für die Ausgabe)</t>
  </si>
  <si>
    <t>Colloquium (für die Ausgabe)</t>
  </si>
  <si>
    <t>Fehler Belegg. Religion/Ethik; Spalte Q: wie viel Religionen wurden 2 Jahre belegt</t>
  </si>
  <si>
    <t>Fehler, ob die Stundensumme mind. 66 beträgt</t>
  </si>
  <si>
    <t>Prüfung der S-Bel.; Spalte Q: Anzahl S-Belegungen</t>
  </si>
  <si>
    <t>Prüfung der C-Bel.; Spalte Q: Anzahl C-Belegungen</t>
  </si>
  <si>
    <t>Texte für Ausgabe bei verschiedenen Werten des Kontrollparameters</t>
  </si>
  <si>
    <t>Geschichte</t>
  </si>
  <si>
    <t xml:space="preserve">  +Sozialkunde</t>
  </si>
  <si>
    <t>Italienisch spätbeginnend (ja oder nein eintragen)</t>
  </si>
  <si>
    <t>C/X</t>
  </si>
  <si>
    <t>S/C/X/A</t>
  </si>
  <si>
    <t>Wochenstunden (mind. 132)</t>
  </si>
  <si>
    <t>Geschichte mit Sozialkunde</t>
  </si>
  <si>
    <t>Rot weist auf fehlerhafte oder unvollständige Eingaben hin.</t>
  </si>
  <si>
    <t>Name:</t>
  </si>
  <si>
    <t>Additum nicht wählbar</t>
  </si>
  <si>
    <t>Stand:</t>
  </si>
  <si>
    <t>Jahrgang:</t>
  </si>
  <si>
    <t>Fächerwahl für die Qualifikationsphase</t>
  </si>
  <si>
    <t>Klasse:</t>
  </si>
  <si>
    <t>Geburtsdatum:</t>
  </si>
  <si>
    <t>Bekenntnis:</t>
  </si>
  <si>
    <t>Bildungsgang:</t>
  </si>
  <si>
    <t>Evangelische Religionslehre</t>
  </si>
  <si>
    <t>Katholische Religionslehre</t>
  </si>
  <si>
    <t>PFL</t>
  </si>
  <si>
    <t>WPF</t>
  </si>
  <si>
    <t>PRO</t>
  </si>
  <si>
    <t>Englisch</t>
  </si>
  <si>
    <t>Französisch</t>
  </si>
  <si>
    <t>Latein</t>
  </si>
  <si>
    <t>Biologie</t>
  </si>
  <si>
    <t>Physik</t>
  </si>
  <si>
    <t>Informatik</t>
  </si>
  <si>
    <t>Geographie</t>
  </si>
  <si>
    <t>Wirtschaft und Recht</t>
  </si>
  <si>
    <t>Angebot</t>
  </si>
  <si>
    <t>Wahl</t>
  </si>
  <si>
    <t>K</t>
  </si>
  <si>
    <t>D</t>
  </si>
  <si>
    <t>M</t>
  </si>
  <si>
    <t>G</t>
  </si>
  <si>
    <t>+Sk</t>
  </si>
  <si>
    <t>Eth</t>
  </si>
  <si>
    <t>Ev</t>
  </si>
  <si>
    <t>Spo</t>
  </si>
  <si>
    <t>E</t>
  </si>
  <si>
    <t>F</t>
  </si>
  <si>
    <t>L</t>
  </si>
  <si>
    <t>Chemie</t>
  </si>
  <si>
    <t>Ph</t>
  </si>
  <si>
    <t>Inf</t>
  </si>
  <si>
    <t>Geo</t>
  </si>
  <si>
    <t>WR</t>
  </si>
  <si>
    <t>Ku</t>
  </si>
  <si>
    <t>Mu</t>
  </si>
  <si>
    <t>KuB</t>
  </si>
  <si>
    <t>MuI</t>
  </si>
  <si>
    <t>W-Sem</t>
  </si>
  <si>
    <t>P-Sem</t>
  </si>
  <si>
    <t>-</t>
  </si>
  <si>
    <t>a</t>
  </si>
  <si>
    <t>SCX</t>
  </si>
  <si>
    <t>SCX A</t>
  </si>
  <si>
    <t xml:space="preserve">CX </t>
  </si>
  <si>
    <t>Sporttheorie (Additum Sport)</t>
  </si>
  <si>
    <t>Instrument/Gesang (Additum Musik)</t>
  </si>
  <si>
    <t>Bildnerische Praxis (Additum Kunst)</t>
  </si>
  <si>
    <t xml:space="preserve"> X</t>
  </si>
  <si>
    <t>SpT</t>
  </si>
  <si>
    <t>Ch</t>
  </si>
  <si>
    <t>Name, Vorname:</t>
  </si>
  <si>
    <t>Beim Ausfüllen der Wahl-Tabelle bitte Folgendes beachten:</t>
  </si>
  <si>
    <t>1.</t>
  </si>
  <si>
    <t>Eingaben sind nur in den gelb unterlegten Zellen möglich.</t>
  </si>
  <si>
    <t>2.</t>
  </si>
  <si>
    <t>3.</t>
  </si>
  <si>
    <t>4.</t>
  </si>
  <si>
    <t>(richtige Eingabe führt zu Grünfärbung der Zelle)</t>
  </si>
  <si>
    <t>In der Tabelle "2. Wahl ausfüllen" die Fächerwahl erfassen!</t>
  </si>
  <si>
    <t>5.</t>
  </si>
  <si>
    <t xml:space="preserve">· </t>
  </si>
  <si>
    <t>Abitur nur in Geschichte: S oder C bei Geschichte, X bei Sozialkunde</t>
  </si>
  <si>
    <t>Abitur in Geschichte mit Sozialkunde: X bei Geschichte, S oder C bei Sozialkunde</t>
  </si>
  <si>
    <t>Abitur nur in Sozialkunde nicht möglich!</t>
  </si>
  <si>
    <r>
      <t xml:space="preserve">Diese Informationen </t>
    </r>
    <r>
      <rPr>
        <b/>
        <sz val="12"/>
        <color indexed="10"/>
        <rFont val="Arial"/>
        <family val="2"/>
      </rPr>
      <t>vollständig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durchlesen!</t>
    </r>
  </si>
  <si>
    <r>
      <t xml:space="preserve">Aber Achtung: Mit der Wahl eines </t>
    </r>
    <r>
      <rPr>
        <b/>
        <sz val="12"/>
        <color indexed="10"/>
        <rFont val="Arial"/>
        <family val="2"/>
      </rPr>
      <t>Additums in Kunst, Musik oder Sport</t>
    </r>
    <r>
      <rPr>
        <sz val="12"/>
        <rFont val="Arial"/>
        <family val="2"/>
      </rPr>
      <t xml:space="preserve"> wird bereits </t>
    </r>
    <r>
      <rPr>
        <b/>
        <sz val="12"/>
        <color indexed="10"/>
        <rFont val="Arial"/>
        <family val="2"/>
      </rPr>
      <t>jetzt unwiderruflich das Abiturfach festgelegt</t>
    </r>
    <r>
      <rPr>
        <sz val="12"/>
        <rFont val="Arial"/>
        <family val="2"/>
      </rPr>
      <t>!</t>
    </r>
  </si>
  <si>
    <r>
      <t xml:space="preserve">Besonderheit beim Eintrag von </t>
    </r>
    <r>
      <rPr>
        <b/>
        <sz val="12"/>
        <color indexed="10"/>
        <rFont val="Arial"/>
        <family val="2"/>
      </rPr>
      <t>Abitur in G +Sk</t>
    </r>
  </si>
  <si>
    <r>
      <t xml:space="preserve">Bei erstmaliger Wahl von Ethik in Q11 (bisher Religion) ist ein gesonderter Antrag nötig 
</t>
    </r>
    <r>
      <rPr>
        <sz val="12"/>
        <rFont val="Symbol"/>
        <family val="1"/>
        <charset val="2"/>
      </rPr>
      <t>®</t>
    </r>
    <r>
      <rPr>
        <sz val="12"/>
        <rFont val="Arial"/>
        <family val="2"/>
      </rPr>
      <t xml:space="preserve"> Formular bei OSK holen</t>
    </r>
  </si>
  <si>
    <t>8.</t>
  </si>
  <si>
    <t>9.</t>
  </si>
  <si>
    <t>Die Endversion der Datei auf dem eigenen PC speichern oder eine Kopie des ausdruckten Fächerwahlblattes für den eigenen Gebrauch aufbewahren!</t>
  </si>
  <si>
    <r>
      <t xml:space="preserve">Die automatisch ausgefüllte Tabelle </t>
    </r>
    <r>
      <rPr>
        <b/>
        <sz val="12"/>
        <color indexed="10"/>
        <rFont val="Arial"/>
        <family val="2"/>
      </rPr>
      <t>"3.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Druckversion der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Fächerwahl"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ausdrucken!</t>
    </r>
  </si>
  <si>
    <t>Datei zur Fächerwahl für Q11 und Q12</t>
  </si>
  <si>
    <t xml:space="preserve">Bekenntnis: </t>
  </si>
  <si>
    <t>Profil 1</t>
  </si>
  <si>
    <t>Profil 2</t>
  </si>
  <si>
    <t>Profil 3</t>
  </si>
  <si>
    <t>Vokalensemble</t>
  </si>
  <si>
    <t>Instrumentalensemble</t>
  </si>
  <si>
    <t>Alternative:</t>
  </si>
  <si>
    <t>A/X</t>
  </si>
  <si>
    <t>Gabriel-von-Seidl-Gymnasium</t>
  </si>
  <si>
    <t xml:space="preserve">       X A  </t>
  </si>
  <si>
    <t>ine</t>
  </si>
  <si>
    <t>In Q11 + Q12 gewählter Religions-/Ethikunterricht (ev, k, eth)</t>
  </si>
  <si>
    <t>In Klasse 10 besuchter Religions-/Ethikunterricht (ev, k, eth)</t>
  </si>
  <si>
    <t>Fehler X-Belegung Profil (auße vok/ine)</t>
  </si>
  <si>
    <r>
      <t xml:space="preserve">In der </t>
    </r>
    <r>
      <rPr>
        <b/>
        <sz val="12"/>
        <color indexed="10"/>
        <rFont val="Arial"/>
        <family val="2"/>
      </rPr>
      <t>Spalte B</t>
    </r>
    <r>
      <rPr>
        <sz val="12"/>
        <rFont val="Arial"/>
        <family val="2"/>
      </rPr>
      <t xml:space="preserve"> bitte </t>
    </r>
    <r>
      <rPr>
        <b/>
        <sz val="12"/>
        <color indexed="10"/>
        <rFont val="Arial"/>
        <family val="2"/>
      </rPr>
      <t>mit Hilfe des Pulldownmenüs die Fachbezeichnungen auswählen</t>
    </r>
    <r>
      <rPr>
        <sz val="12"/>
        <rFont val="Arial"/>
        <family val="2"/>
      </rPr>
      <t>. Von einer "händischen" Eingabe ist hier abzusehen!</t>
    </r>
  </si>
  <si>
    <t>Die endgültige Festlegung des 3. schriftlichen Abiturfachs erfolgt bis spätestens zum 31. Januar im AA 12/1.</t>
  </si>
  <si>
    <t>Das 4. und 5. Abiturfach können bis ca. 6 Wochen vor der Abiturprüfung geändert werden.</t>
  </si>
  <si>
    <t xml:space="preserve">6. </t>
  </si>
  <si>
    <t>7.</t>
  </si>
  <si>
    <r>
      <t xml:space="preserve">Beachte die zu belegende Gesamt-Stundenzahl von 132 Wochenstunden. </t>
    </r>
    <r>
      <rPr>
        <b/>
        <sz val="12"/>
        <color indexed="10"/>
        <rFont val="Arial"/>
        <family val="2"/>
      </rPr>
      <t>Überschreitungen</t>
    </r>
    <r>
      <rPr>
        <sz val="12"/>
        <rFont val="Arial"/>
        <family val="2"/>
      </rPr>
      <t xml:space="preserve"> dieser </t>
    </r>
    <r>
      <rPr>
        <b/>
        <sz val="12"/>
        <color indexed="10"/>
        <rFont val="Arial"/>
        <family val="2"/>
      </rPr>
      <t>Stundenzahl</t>
    </r>
    <r>
      <rPr>
        <sz val="12"/>
        <rFont val="Arial"/>
        <family val="2"/>
      </rPr>
      <t xml:space="preserve"> sollten aufgrund der damit verbundenen Belastungen </t>
    </r>
    <r>
      <rPr>
        <b/>
        <sz val="12"/>
        <color indexed="10"/>
        <rFont val="Arial"/>
        <family val="2"/>
      </rPr>
      <t>vermieden</t>
    </r>
    <r>
      <rPr>
        <sz val="12"/>
        <rFont val="Arial"/>
        <family val="2"/>
      </rPr>
      <t xml:space="preserve"> werden.</t>
    </r>
  </si>
  <si>
    <r>
      <t>Das ausgedruckte Fächerwahlformular selbst unterschreiben und 
von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einem Elternteil unterschreiben</t>
    </r>
    <r>
      <rPr>
        <sz val="12"/>
        <rFont val="Arial"/>
        <family val="2"/>
      </rPr>
      <t xml:space="preserve"> lassen!</t>
    </r>
  </si>
  <si>
    <t>2. Naturwiss./Inf:</t>
  </si>
  <si>
    <r>
      <rPr>
        <b/>
        <sz val="12"/>
        <color indexed="10"/>
        <rFont val="Arial"/>
        <family val="2"/>
      </rPr>
      <t xml:space="preserve">Religion und Ethik </t>
    </r>
    <r>
      <rPr>
        <sz val="12"/>
        <rFont val="Arial"/>
        <family val="2"/>
      </rPr>
      <t xml:space="preserve">sind  als </t>
    </r>
    <r>
      <rPr>
        <b/>
        <sz val="12"/>
        <color indexed="10"/>
        <rFont val="Arial"/>
        <family val="2"/>
      </rPr>
      <t>Abiturfach</t>
    </r>
    <r>
      <rPr>
        <sz val="12"/>
        <rFont val="Arial"/>
        <family val="2"/>
      </rPr>
      <t xml:space="preserve"> nur möglich</t>
    </r>
  </si>
  <si>
    <t xml:space="preserve">wenn das Fach in der 10. Klasse besucht wurde </t>
  </si>
  <si>
    <r>
      <rPr>
        <sz val="18"/>
        <color indexed="9"/>
        <rFont val="Symbol"/>
        <family val="1"/>
        <charset val="2"/>
      </rPr>
      <t>¬</t>
    </r>
    <r>
      <rPr>
        <sz val="12"/>
        <color indexed="9"/>
        <rFont val="Arial"/>
        <family val="2"/>
      </rPr>
      <t xml:space="preserve"> Bei Additum: Vorauss. min. Note 3 im Zwischenzeugnis? (ja oder nein)</t>
    </r>
  </si>
  <si>
    <t>Unterschrift der/des Schülerin/Schülers</t>
  </si>
  <si>
    <t>Unterschrift eines Erziehungsberechtigten</t>
  </si>
  <si>
    <r>
      <t xml:space="preserve">Bitte bei den </t>
    </r>
    <r>
      <rPr>
        <b/>
        <sz val="12"/>
        <color indexed="10"/>
        <rFont val="Arial"/>
        <family val="2"/>
      </rPr>
      <t>W- und P-Seminaren und Profilkursen immer eine Alternative</t>
    </r>
    <r>
      <rPr>
        <sz val="12"/>
        <rFont val="Arial"/>
        <family val="2"/>
      </rPr>
      <t xml:space="preserve"> angeben!</t>
    </r>
  </si>
  <si>
    <t>Doppelbelegung WR/Geo</t>
  </si>
  <si>
    <t>Doppelbelegung Ku/Mu</t>
  </si>
  <si>
    <t>Französisch spätbeginnend (ja oder nein eintragen)</t>
  </si>
  <si>
    <t>spätbeg. Fremdsprache</t>
  </si>
  <si>
    <t>[Eine Belegung von Isp/Fsp und Sport-Additum führt zu einer hohen Stundenzahl, die damit verbunde Arbeitsbelastung ist sehr hoch!]</t>
  </si>
  <si>
    <t>spätb. FS:</t>
  </si>
  <si>
    <t>bcp</t>
  </si>
  <si>
    <t>S/C
X/A*</t>
  </si>
  <si>
    <t>*S = schriftliche Abiturprüfung 
C = Kolloquium
A = Belegung nur in 11  
X = Beleg. in 11 und 12</t>
  </si>
  <si>
    <r>
      <t xml:space="preserve">Die voraussichtlichen </t>
    </r>
    <r>
      <rPr>
        <b/>
        <sz val="12"/>
        <color indexed="10"/>
        <rFont val="Arial"/>
        <family val="2"/>
      </rPr>
      <t>Abiturfächer</t>
    </r>
    <r>
      <rPr>
        <sz val="12"/>
        <rFont val="Arial"/>
        <family val="2"/>
      </rPr>
      <t xml:space="preserve"> müssen angeben werden: 
(D[S], M[S], Fremdsprache, genau 1x GPR, 1x Pflicht-oder Wahlpflichtfach) </t>
    </r>
  </si>
  <si>
    <t>Religion</t>
  </si>
  <si>
    <t>Ich beabsichtige im nächsten Schuljahr die Schule zu verlassen (ja oder nein):</t>
  </si>
  <si>
    <t>Bei vermeintlichen Fehlern oder sonstigen Problemen bitte umgehend an Herrn Zimmermann wenden.</t>
  </si>
  <si>
    <t>vok</t>
  </si>
  <si>
    <t>Rhetorik</t>
  </si>
  <si>
    <t>rhe</t>
  </si>
  <si>
    <t>Ausbildungsrichtung (NTG,SG, MuG oder Einführungsklasse)</t>
  </si>
  <si>
    <t>Englische Konversation</t>
  </si>
  <si>
    <t>eko</t>
  </si>
  <si>
    <t>Outdoorsport</t>
  </si>
  <si>
    <t>out</t>
  </si>
  <si>
    <t>Trainingslehre</t>
  </si>
  <si>
    <t>trl</t>
  </si>
  <si>
    <r>
      <t>Beim Klassensprecher spätestens am Dienstag,</t>
    </r>
    <r>
      <rPr>
        <b/>
        <sz val="12"/>
        <color indexed="10"/>
        <rFont val="Arial"/>
        <family val="2"/>
      </rPr>
      <t xml:space="preserve"> 11.01.22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abgeben!</t>
    </r>
  </si>
  <si>
    <t>18.10.2021  Markus Zimmermann</t>
  </si>
  <si>
    <t>Psychologie</t>
  </si>
  <si>
    <t>psy</t>
  </si>
  <si>
    <t>Deutsch/Reli</t>
  </si>
  <si>
    <t>Wal</t>
  </si>
  <si>
    <t>2022/2024</t>
  </si>
  <si>
    <t>Schuljahr 2021/22</t>
  </si>
  <si>
    <t>Falls euch Unstimmigkeiten oder Fehler auffallen, dann wendet euch bitte an Herrn Zimmermann</t>
  </si>
  <si>
    <t>biologisch-chemisches Pr.</t>
  </si>
  <si>
    <t>Rau/BrF</t>
  </si>
  <si>
    <t>MeA</t>
  </si>
  <si>
    <t>Hey</t>
  </si>
  <si>
    <t>Haf/So</t>
  </si>
  <si>
    <t>Püt</t>
  </si>
  <si>
    <t>Scu</t>
  </si>
  <si>
    <t>Wil/Gra</t>
  </si>
  <si>
    <t>Wis</t>
  </si>
  <si>
    <t>Stü</t>
  </si>
  <si>
    <t>ZiM</t>
  </si>
  <si>
    <t>BrC</t>
  </si>
  <si>
    <t>StC</t>
  </si>
  <si>
    <t>Grü</t>
  </si>
  <si>
    <t>So</t>
  </si>
  <si>
    <t>Sci</t>
  </si>
  <si>
    <t>BrF/Sin</t>
  </si>
  <si>
    <t>Meß</t>
  </si>
  <si>
    <t>Mathe/Chemie</t>
  </si>
  <si>
    <t>Pen/Zim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</si>
</sst>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dd/mm/yy;@"/>
    <numFmt numFmtId="166" formatCode="_-* #,##0.00\ [$€-407]_-;\-* #,##0.00\ [$€-407]_-;_-* &quot;-&quot;??\ [$€-407]_-;_-@_-"/>
  </numFmts>
  <fonts count="3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color indexed="14"/>
      <name val="Arial"/>
      <family val="2"/>
    </font>
    <font>
      <sz val="12"/>
      <color indexed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Webdings"/>
      <family val="1"/>
      <charset val="2"/>
    </font>
    <font>
      <sz val="12"/>
      <color indexed="10"/>
      <name val="Arial"/>
      <family val="2"/>
    </font>
    <font>
      <sz val="18"/>
      <color indexed="9"/>
      <name val="Symbol"/>
      <family val="1"/>
      <charset val="2"/>
    </font>
    <font>
      <sz val="12"/>
      <name val="Symbol"/>
      <family val="1"/>
      <charset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 tint="-0.249977111117893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C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5" fillId="0" borderId="0" xfId="0" applyFont="1" applyBorder="1"/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2" fillId="0" borderId="1" xfId="0" applyFont="1" applyBorder="1" applyAlignment="1" applyProtection="1">
      <alignment wrapText="1"/>
    </xf>
    <xf numFmtId="0" fontId="0" fillId="0" borderId="0" xfId="0" applyProtection="1"/>
    <xf numFmtId="0" fontId="2" fillId="0" borderId="0" xfId="0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2" fillId="0" borderId="0" xfId="0" applyFont="1" applyProtection="1"/>
    <xf numFmtId="0" fontId="14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3" fillId="0" borderId="0" xfId="0" applyFont="1" applyBorder="1" applyProtection="1"/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8" xfId="0" applyFont="1" applyBorder="1" applyAlignment="1" applyProtection="1">
      <alignment horizontal="center"/>
    </xf>
    <xf numFmtId="0" fontId="12" fillId="0" borderId="0" xfId="0" applyFont="1" applyBorder="1" applyProtection="1"/>
    <xf numFmtId="0" fontId="2" fillId="0" borderId="5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Protection="1"/>
    <xf numFmtId="0" fontId="6" fillId="0" borderId="0" xfId="0" applyFont="1" applyBorder="1" applyProtection="1"/>
    <xf numFmtId="0" fontId="2" fillId="0" borderId="4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2" fillId="0" borderId="1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4" fillId="0" borderId="15" xfId="0" applyFont="1" applyBorder="1" applyProtection="1"/>
    <xf numFmtId="0" fontId="4" fillId="0" borderId="18" xfId="0" applyFont="1" applyBorder="1" applyProtection="1"/>
    <xf numFmtId="0" fontId="14" fillId="0" borderId="15" xfId="0" applyFont="1" applyBorder="1" applyProtection="1"/>
    <xf numFmtId="0" fontId="2" fillId="0" borderId="18" xfId="0" applyFont="1" applyBorder="1" applyProtection="1"/>
    <xf numFmtId="0" fontId="2" fillId="0" borderId="15" xfId="0" applyFont="1" applyBorder="1" applyProtection="1"/>
    <xf numFmtId="0" fontId="2" fillId="0" borderId="19" xfId="0" applyFont="1" applyBorder="1" applyProtection="1"/>
    <xf numFmtId="0" fontId="2" fillId="0" borderId="17" xfId="0" applyFont="1" applyBorder="1" applyProtection="1"/>
    <xf numFmtId="0" fontId="16" fillId="0" borderId="17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3" xfId="0" applyFont="1" applyBorder="1" applyProtection="1"/>
    <xf numFmtId="0" fontId="16" fillId="0" borderId="3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5" fillId="0" borderId="0" xfId="0" applyFont="1" applyBorder="1" applyProtection="1"/>
    <xf numFmtId="0" fontId="25" fillId="0" borderId="0" xfId="0" applyFont="1" applyProtection="1"/>
    <xf numFmtId="0" fontId="10" fillId="2" borderId="16" xfId="0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2" fillId="0" borderId="23" xfId="0" applyFont="1" applyBorder="1" applyAlignment="1">
      <alignment vertical="center"/>
    </xf>
    <xf numFmtId="0" fontId="10" fillId="0" borderId="24" xfId="0" applyFont="1" applyBorder="1" applyAlignment="1" applyProtection="1">
      <alignment vertical="center"/>
    </xf>
    <xf numFmtId="0" fontId="2" fillId="0" borderId="24" xfId="0" applyFont="1" applyBorder="1" applyAlignment="1">
      <alignment horizontal="center" vertical="center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24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Protection="1"/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2" borderId="35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0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left" wrapText="1"/>
    </xf>
    <xf numFmtId="0" fontId="24" fillId="0" borderId="0" xfId="0" applyFont="1" applyFill="1"/>
    <xf numFmtId="0" fontId="23" fillId="0" borderId="0" xfId="1" applyFill="1"/>
    <xf numFmtId="0" fontId="22" fillId="0" borderId="0" xfId="0" applyFont="1" applyFill="1" applyBorder="1" applyAlignment="1">
      <alignment horizontal="right"/>
    </xf>
    <xf numFmtId="0" fontId="25" fillId="3" borderId="0" xfId="0" applyFont="1" applyFill="1" applyAlignment="1">
      <alignment horizontal="right" vertical="center"/>
    </xf>
    <xf numFmtId="0" fontId="28" fillId="0" borderId="0" xfId="0" applyFont="1" applyFill="1" applyProtection="1"/>
    <xf numFmtId="0" fontId="29" fillId="0" borderId="0" xfId="0" applyFont="1" applyFill="1" applyProtection="1"/>
    <xf numFmtId="0" fontId="3" fillId="0" borderId="0" xfId="0" applyFont="1" applyProtection="1"/>
    <xf numFmtId="0" fontId="2" fillId="0" borderId="15" xfId="0" applyFont="1" applyBorder="1" applyAlignment="1" applyProtection="1">
      <alignment horizontal="right"/>
    </xf>
    <xf numFmtId="0" fontId="24" fillId="0" borderId="0" xfId="0" applyFont="1" applyFill="1" applyBorder="1" applyProtection="1"/>
    <xf numFmtId="166" fontId="2" fillId="0" borderId="0" xfId="2" applyNumberFormat="1" applyFont="1" applyBorder="1" applyProtection="1"/>
    <xf numFmtId="0" fontId="24" fillId="0" borderId="0" xfId="0" applyFont="1" applyProtection="1"/>
    <xf numFmtId="0" fontId="2" fillId="4" borderId="18" xfId="0" applyFont="1" applyFill="1" applyBorder="1" applyProtection="1">
      <protection locked="0"/>
    </xf>
    <xf numFmtId="0" fontId="3" fillId="4" borderId="18" xfId="0" applyFont="1" applyFill="1" applyBorder="1" applyProtection="1">
      <protection locked="0"/>
    </xf>
    <xf numFmtId="0" fontId="10" fillId="0" borderId="21" xfId="0" applyFont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30" fillId="0" borderId="0" xfId="0" applyFont="1" applyProtection="1"/>
    <xf numFmtId="0" fontId="6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16" fillId="2" borderId="16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3" fillId="0" borderId="0" xfId="0" applyFont="1" applyFill="1" applyBorder="1" applyProtection="1"/>
    <xf numFmtId="0" fontId="31" fillId="0" borderId="0" xfId="0" applyFont="1" applyAlignment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5" fillId="0" borderId="17" xfId="0" applyFont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10" fillId="0" borderId="16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 wrapText="1"/>
    </xf>
    <xf numFmtId="0" fontId="1" fillId="0" borderId="29" xfId="0" applyFont="1" applyBorder="1" applyAlignment="1" applyProtection="1">
      <alignment horizontal="center"/>
    </xf>
    <xf numFmtId="165" fontId="10" fillId="4" borderId="15" xfId="0" applyNumberFormat="1" applyFont="1" applyFill="1" applyBorder="1" applyAlignment="1" applyProtection="1">
      <alignment horizontal="center"/>
      <protection locked="0"/>
    </xf>
    <xf numFmtId="165" fontId="10" fillId="4" borderId="14" xfId="0" applyNumberFormat="1" applyFont="1" applyFill="1" applyBorder="1" applyAlignment="1" applyProtection="1">
      <alignment horizontal="center"/>
      <protection locked="0"/>
    </xf>
    <xf numFmtId="165" fontId="10" fillId="4" borderId="18" xfId="0" applyNumberFormat="1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10" fillId="0" borderId="5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44" xfId="0" applyFont="1" applyBorder="1" applyAlignment="1" applyProtection="1">
      <alignment horizontal="right"/>
    </xf>
    <xf numFmtId="0" fontId="10" fillId="4" borderId="15" xfId="0" applyFont="1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2" fillId="0" borderId="35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10" fillId="0" borderId="52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1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right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</cellXfs>
  <cellStyles count="3">
    <cellStyle name="Link" xfId="1" builtinId="8"/>
    <cellStyle name="Standard" xfId="0" builtinId="0"/>
    <cellStyle name="Währung" xfId="2" builtinId="4"/>
  </cellStyles>
  <dxfs count="78">
    <dxf>
      <font>
        <color theme="1"/>
      </font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ont>
        <b/>
        <i val="0"/>
      </font>
      <fill>
        <patternFill patternType="solid">
          <bgColor theme="6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  <name val="Cambria"/>
        <scheme val="none"/>
      </font>
      <fill>
        <patternFill>
          <bgColor rgb="FFFFA7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 patternType="solid">
          <bgColor theme="6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CC66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ill>
        <patternFill>
          <bgColor rgb="FFFFCC66"/>
        </patternFill>
      </fill>
    </dxf>
    <dxf>
      <fill>
        <patternFill>
          <bgColor rgb="FFFF99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4" tint="0.79998168889431442"/>
  </sheetPr>
  <dimension ref="B1:M34"/>
  <sheetViews>
    <sheetView showGridLines="0" showRowColHeaders="0" tabSelected="1" zoomScale="90" zoomScaleNormal="90" workbookViewId="0">
      <selection activeCell="B1" sqref="B1"/>
    </sheetView>
  </sheetViews>
  <sheetFormatPr baseColWidth="10" defaultColWidth="11.5703125" defaultRowHeight="15" x14ac:dyDescent="0.2"/>
  <cols>
    <col min="1" max="2" width="2.7109375" style="153" customWidth="1"/>
    <col min="3" max="3" width="4.28515625" style="153" customWidth="1"/>
    <col min="4" max="4" width="7.5703125" style="153" customWidth="1"/>
    <col min="5" max="9" width="11.42578125" style="153" customWidth="1"/>
    <col min="10" max="10" width="11.7109375" style="153" customWidth="1"/>
    <col min="11" max="14" width="11.42578125" style="153" customWidth="1"/>
    <col min="15" max="16384" width="11.5703125" style="153"/>
  </cols>
  <sheetData>
    <row r="1" spans="2:13" ht="20.25" customHeight="1" x14ac:dyDescent="0.25">
      <c r="B1" s="152"/>
    </row>
    <row r="2" spans="2:13" ht="20.25" customHeight="1" x14ac:dyDescent="0.25">
      <c r="B2" s="152" t="s">
        <v>158</v>
      </c>
    </row>
    <row r="3" spans="2:13" ht="9.6" customHeight="1" x14ac:dyDescent="0.2"/>
    <row r="4" spans="2:13" ht="20.25" customHeight="1" x14ac:dyDescent="0.25">
      <c r="B4" s="153" t="s">
        <v>138</v>
      </c>
      <c r="C4" s="153" t="s">
        <v>150</v>
      </c>
      <c r="D4" s="154"/>
      <c r="E4" s="155"/>
      <c r="F4" s="155"/>
      <c r="G4" s="155"/>
      <c r="H4" s="155"/>
      <c r="I4" s="155"/>
      <c r="J4" s="155"/>
      <c r="K4" s="155"/>
      <c r="L4" s="155"/>
    </row>
    <row r="5" spans="2:13" ht="20.25" customHeight="1" x14ac:dyDescent="0.2">
      <c r="B5" s="153" t="s">
        <v>140</v>
      </c>
      <c r="C5" s="154" t="s">
        <v>144</v>
      </c>
      <c r="D5" s="154"/>
      <c r="E5" s="155"/>
      <c r="F5" s="155"/>
      <c r="G5" s="155"/>
      <c r="H5" s="155"/>
      <c r="I5" s="155"/>
      <c r="J5" s="155"/>
      <c r="K5" s="155"/>
      <c r="L5" s="155"/>
    </row>
    <row r="6" spans="2:13" ht="20.25" customHeight="1" x14ac:dyDescent="0.25">
      <c r="B6" s="153" t="s">
        <v>141</v>
      </c>
      <c r="C6" s="154" t="s">
        <v>157</v>
      </c>
      <c r="D6" s="154"/>
      <c r="E6" s="155"/>
      <c r="F6" s="155"/>
      <c r="G6" s="155"/>
      <c r="H6" s="155"/>
      <c r="I6" s="155"/>
      <c r="J6" s="155"/>
      <c r="K6" s="155"/>
      <c r="L6" s="155"/>
    </row>
    <row r="7" spans="2:13" ht="35.1" customHeight="1" x14ac:dyDescent="0.2">
      <c r="B7" s="157" t="s">
        <v>142</v>
      </c>
      <c r="C7" s="190" t="s">
        <v>179</v>
      </c>
      <c r="D7" s="190"/>
      <c r="E7" s="190"/>
      <c r="F7" s="190"/>
      <c r="G7" s="190"/>
      <c r="H7" s="190"/>
      <c r="I7" s="190"/>
      <c r="J7" s="190"/>
      <c r="K7" s="190"/>
      <c r="L7" s="155"/>
    </row>
    <row r="8" spans="2:13" ht="20.25" customHeight="1" x14ac:dyDescent="0.25">
      <c r="B8" s="153" t="s">
        <v>145</v>
      </c>
      <c r="C8" s="154" t="s">
        <v>210</v>
      </c>
      <c r="D8" s="154"/>
      <c r="E8" s="155"/>
      <c r="F8" s="155"/>
      <c r="G8" s="155"/>
      <c r="H8" s="155"/>
      <c r="I8" s="155"/>
      <c r="J8" s="155"/>
      <c r="K8" s="155"/>
      <c r="L8" s="155"/>
    </row>
    <row r="9" spans="2:13" ht="14.45" customHeight="1" x14ac:dyDescent="0.2">
      <c r="C9" s="154"/>
      <c r="D9" s="154"/>
      <c r="E9" s="155"/>
      <c r="F9" s="155"/>
      <c r="G9" s="155"/>
      <c r="H9" s="155"/>
      <c r="I9" s="155"/>
      <c r="J9" s="155"/>
      <c r="K9" s="155"/>
      <c r="L9" s="155"/>
    </row>
    <row r="10" spans="2:13" ht="20.25" customHeight="1" x14ac:dyDescent="0.25">
      <c r="B10" s="156" t="s">
        <v>137</v>
      </c>
      <c r="C10" s="154"/>
      <c r="D10" s="154"/>
      <c r="E10" s="155"/>
      <c r="F10" s="155"/>
      <c r="G10" s="155"/>
      <c r="H10" s="155"/>
      <c r="I10" s="155"/>
      <c r="J10" s="155"/>
      <c r="K10" s="155"/>
      <c r="L10" s="155"/>
    </row>
    <row r="11" spans="2:13" ht="20.25" customHeight="1" x14ac:dyDescent="0.2">
      <c r="B11" s="153" t="s">
        <v>138</v>
      </c>
      <c r="C11" s="193" t="s">
        <v>139</v>
      </c>
      <c r="D11" s="193"/>
      <c r="E11" s="193"/>
      <c r="F11" s="193"/>
      <c r="G11" s="193"/>
      <c r="H11" s="193"/>
      <c r="I11" s="193"/>
      <c r="J11" s="155"/>
      <c r="K11" s="155"/>
      <c r="L11" s="155"/>
    </row>
    <row r="12" spans="2:13" ht="32.1" customHeight="1" x14ac:dyDescent="0.2">
      <c r="B12" s="157" t="s">
        <v>140</v>
      </c>
      <c r="C12" s="192" t="s">
        <v>173</v>
      </c>
      <c r="D12" s="192"/>
      <c r="E12" s="192"/>
      <c r="F12" s="192"/>
      <c r="G12" s="192"/>
      <c r="H12" s="192"/>
      <c r="I12" s="192"/>
      <c r="J12" s="192"/>
      <c r="K12" s="192"/>
      <c r="L12" s="158"/>
      <c r="M12" s="158"/>
    </row>
    <row r="13" spans="2:13" ht="15.6" customHeight="1" x14ac:dyDescent="0.2">
      <c r="C13" s="194" t="s">
        <v>143</v>
      </c>
      <c r="D13" s="194"/>
      <c r="E13" s="194"/>
      <c r="F13" s="194"/>
      <c r="G13" s="194"/>
      <c r="H13" s="194"/>
      <c r="I13" s="155"/>
      <c r="J13" s="155"/>
      <c r="K13" s="155"/>
      <c r="L13" s="155"/>
    </row>
    <row r="14" spans="2:13" ht="34.15" customHeight="1" x14ac:dyDescent="0.2">
      <c r="B14" s="157" t="s">
        <v>141</v>
      </c>
      <c r="C14" s="190" t="s">
        <v>196</v>
      </c>
      <c r="D14" s="190"/>
      <c r="E14" s="190"/>
      <c r="F14" s="190"/>
      <c r="G14" s="190"/>
      <c r="H14" s="190"/>
      <c r="I14" s="190"/>
      <c r="J14" s="190"/>
      <c r="K14" s="190"/>
      <c r="L14" s="155"/>
    </row>
    <row r="15" spans="2:13" ht="31.9" customHeight="1" x14ac:dyDescent="0.2">
      <c r="C15" s="159" t="s">
        <v>146</v>
      </c>
      <c r="D15" s="189" t="s">
        <v>174</v>
      </c>
      <c r="E15" s="189"/>
      <c r="F15" s="189"/>
      <c r="G15" s="189"/>
      <c r="H15" s="189"/>
      <c r="I15" s="189"/>
      <c r="J15" s="189"/>
      <c r="K15" s="189"/>
      <c r="L15" s="155"/>
    </row>
    <row r="16" spans="2:13" ht="35.1" customHeight="1" x14ac:dyDescent="0.2">
      <c r="C16" s="159" t="s">
        <v>146</v>
      </c>
      <c r="D16" s="189" t="s">
        <v>175</v>
      </c>
      <c r="E16" s="189"/>
      <c r="F16" s="189"/>
      <c r="G16" s="189"/>
      <c r="H16" s="189"/>
      <c r="I16" s="189"/>
      <c r="J16" s="189"/>
      <c r="K16" s="189"/>
      <c r="L16" s="155"/>
      <c r="M16" s="161"/>
    </row>
    <row r="17" spans="2:13" ht="30.6" customHeight="1" x14ac:dyDescent="0.25">
      <c r="C17" s="159" t="s">
        <v>146</v>
      </c>
      <c r="D17" s="189" t="s">
        <v>151</v>
      </c>
      <c r="E17" s="189"/>
      <c r="F17" s="189"/>
      <c r="G17" s="189"/>
      <c r="H17" s="189"/>
      <c r="I17" s="189"/>
      <c r="J17" s="189"/>
      <c r="K17" s="189"/>
      <c r="L17" s="155"/>
      <c r="M17" s="161"/>
    </row>
    <row r="18" spans="2:13" ht="31.9" customHeight="1" x14ac:dyDescent="0.2">
      <c r="C18" s="159"/>
      <c r="D18" s="189" t="s">
        <v>191</v>
      </c>
      <c r="E18" s="189"/>
      <c r="F18" s="189"/>
      <c r="G18" s="189"/>
      <c r="H18" s="189"/>
      <c r="I18" s="189"/>
      <c r="J18" s="189"/>
      <c r="K18" s="189"/>
      <c r="L18" s="155"/>
      <c r="M18" s="161"/>
    </row>
    <row r="19" spans="2:13" ht="20.25" customHeight="1" x14ac:dyDescent="0.25">
      <c r="B19" s="153" t="s">
        <v>142</v>
      </c>
      <c r="C19" s="154" t="s">
        <v>152</v>
      </c>
      <c r="D19" s="154"/>
      <c r="E19" s="154"/>
      <c r="F19" s="155"/>
      <c r="G19" s="155"/>
      <c r="H19" s="155"/>
      <c r="I19" s="155"/>
      <c r="J19" s="155"/>
      <c r="K19" s="155"/>
      <c r="L19" s="155"/>
      <c r="M19" s="161"/>
    </row>
    <row r="20" spans="2:13" ht="20.25" customHeight="1" x14ac:dyDescent="0.2">
      <c r="C20" s="159" t="s">
        <v>146</v>
      </c>
      <c r="D20" s="189" t="s">
        <v>147</v>
      </c>
      <c r="E20" s="189"/>
      <c r="F20" s="189"/>
      <c r="G20" s="189"/>
      <c r="H20" s="189"/>
      <c r="I20" s="189"/>
      <c r="J20" s="189"/>
      <c r="K20" s="189"/>
      <c r="L20" s="155"/>
    </row>
    <row r="21" spans="2:13" ht="20.25" customHeight="1" x14ac:dyDescent="0.2">
      <c r="C21" s="159" t="s">
        <v>146</v>
      </c>
      <c r="D21" s="189" t="s">
        <v>148</v>
      </c>
      <c r="E21" s="189"/>
      <c r="F21" s="189"/>
      <c r="G21" s="189"/>
      <c r="H21" s="189"/>
      <c r="I21" s="189"/>
      <c r="J21" s="189"/>
      <c r="K21" s="189"/>
      <c r="L21" s="155"/>
    </row>
    <row r="22" spans="2:13" ht="20.25" customHeight="1" x14ac:dyDescent="0.2">
      <c r="C22" s="159" t="s">
        <v>146</v>
      </c>
      <c r="D22" s="189" t="s">
        <v>149</v>
      </c>
      <c r="E22" s="189"/>
      <c r="F22" s="189"/>
      <c r="G22" s="189"/>
      <c r="H22" s="189"/>
      <c r="I22" s="189"/>
      <c r="J22" s="189"/>
      <c r="K22" s="189"/>
      <c r="L22" s="155"/>
    </row>
    <row r="23" spans="2:13" ht="21" customHeight="1" x14ac:dyDescent="0.25">
      <c r="B23" s="153" t="s">
        <v>145</v>
      </c>
      <c r="C23" s="151" t="s">
        <v>181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2:13" ht="31.9" customHeight="1" x14ac:dyDescent="0.2">
      <c r="C24" s="159" t="s">
        <v>146</v>
      </c>
      <c r="D24" s="190" t="s">
        <v>182</v>
      </c>
      <c r="E24" s="190"/>
      <c r="F24" s="190"/>
      <c r="G24" s="190"/>
      <c r="H24" s="190"/>
      <c r="I24" s="190"/>
      <c r="J24" s="190"/>
      <c r="K24" s="190"/>
      <c r="L24" s="155"/>
    </row>
    <row r="25" spans="2:13" ht="32.450000000000003" customHeight="1" x14ac:dyDescent="0.2">
      <c r="B25" s="157" t="s">
        <v>176</v>
      </c>
      <c r="C25" s="192" t="s">
        <v>153</v>
      </c>
      <c r="D25" s="191"/>
      <c r="E25" s="191"/>
      <c r="F25" s="191"/>
      <c r="G25" s="191"/>
      <c r="H25" s="191"/>
      <c r="I25" s="191"/>
      <c r="J25" s="191"/>
      <c r="K25" s="191"/>
      <c r="L25" s="155"/>
    </row>
    <row r="26" spans="2:13" ht="54.95" customHeight="1" x14ac:dyDescent="0.2">
      <c r="B26" s="157" t="s">
        <v>177</v>
      </c>
      <c r="C26" s="192" t="s">
        <v>178</v>
      </c>
      <c r="D26" s="191"/>
      <c r="E26" s="191"/>
      <c r="F26" s="191"/>
      <c r="G26" s="191"/>
      <c r="H26" s="191"/>
      <c r="I26" s="191"/>
      <c r="J26" s="191"/>
      <c r="K26" s="191"/>
      <c r="L26" s="155"/>
    </row>
    <row r="27" spans="2:13" ht="24.95" customHeight="1" x14ac:dyDescent="0.2">
      <c r="B27" s="157" t="s">
        <v>154</v>
      </c>
      <c r="C27" s="191" t="s">
        <v>186</v>
      </c>
      <c r="D27" s="191"/>
      <c r="E27" s="191"/>
      <c r="F27" s="191"/>
      <c r="G27" s="191"/>
      <c r="H27" s="191"/>
      <c r="I27" s="191"/>
      <c r="J27" s="191"/>
      <c r="K27" s="191"/>
      <c r="L27" s="155"/>
    </row>
    <row r="28" spans="2:13" ht="39.6" customHeight="1" x14ac:dyDescent="0.2">
      <c r="B28" s="157" t="s">
        <v>155</v>
      </c>
      <c r="C28" s="192" t="s">
        <v>156</v>
      </c>
      <c r="D28" s="191"/>
      <c r="E28" s="191"/>
      <c r="F28" s="191"/>
      <c r="G28" s="191"/>
      <c r="H28" s="191"/>
      <c r="I28" s="191"/>
      <c r="J28" s="191"/>
      <c r="K28" s="191"/>
      <c r="L28" s="155"/>
      <c r="M28" s="162"/>
    </row>
    <row r="29" spans="2:13" ht="34.15" customHeight="1" x14ac:dyDescent="0.25">
      <c r="C29" s="187" t="s">
        <v>199</v>
      </c>
      <c r="D29" s="188"/>
      <c r="E29" s="188"/>
      <c r="F29" s="188"/>
      <c r="G29" s="188"/>
      <c r="H29" s="188"/>
      <c r="I29" s="188"/>
      <c r="J29" s="188"/>
      <c r="K29" s="188"/>
      <c r="L29" s="155"/>
    </row>
    <row r="30" spans="2:13" ht="13.15" customHeight="1" x14ac:dyDescent="0.2">
      <c r="C30" s="154"/>
      <c r="D30" s="154"/>
      <c r="E30" s="155"/>
      <c r="F30" s="155"/>
      <c r="G30" s="155"/>
      <c r="H30" s="155"/>
      <c r="I30" s="155"/>
      <c r="J30" s="155"/>
      <c r="K30" s="155"/>
      <c r="L30" s="155"/>
    </row>
    <row r="31" spans="2:13" ht="20.25" customHeight="1" x14ac:dyDescent="0.2">
      <c r="C31" s="154"/>
      <c r="D31" s="154"/>
      <c r="E31" s="155"/>
      <c r="F31" s="155"/>
      <c r="G31" s="155"/>
      <c r="H31" s="155"/>
      <c r="J31" s="155"/>
      <c r="K31" s="163" t="s">
        <v>211</v>
      </c>
      <c r="L31" s="155"/>
    </row>
    <row r="32" spans="2:13" x14ac:dyDescent="0.2">
      <c r="C32" s="154"/>
      <c r="D32" s="154"/>
      <c r="E32" s="155"/>
      <c r="F32" s="155"/>
      <c r="G32" s="155"/>
      <c r="H32" s="155"/>
      <c r="I32" s="155"/>
      <c r="J32" s="155"/>
      <c r="K32" s="155"/>
      <c r="L32" s="155"/>
    </row>
    <row r="33" spans="3:12" x14ac:dyDescent="0.2">
      <c r="C33" s="154"/>
      <c r="D33" s="154"/>
      <c r="E33" s="155"/>
      <c r="F33" s="155"/>
      <c r="G33" s="155"/>
      <c r="H33" s="155"/>
      <c r="I33" s="155"/>
      <c r="J33" s="155"/>
      <c r="K33" s="155"/>
      <c r="L33" s="155"/>
    </row>
    <row r="34" spans="3:12" x14ac:dyDescent="0.2">
      <c r="C34" s="154"/>
      <c r="D34" s="154"/>
      <c r="E34" s="155"/>
      <c r="F34" s="155"/>
      <c r="G34" s="155"/>
      <c r="H34" s="155"/>
      <c r="I34" s="155"/>
      <c r="J34" s="155"/>
      <c r="K34" s="155"/>
      <c r="L34" s="155"/>
    </row>
  </sheetData>
  <sheetProtection algorithmName="SHA-512" hashValue="HGFdlbqZpC6yWWQmDySrVSiSPH1ZPnYxbtLz1KZxqpDC6rXR0nTtH7GTF9hewb4nzajrRWl1iIH/umsc3odAzw==" saltValue="Ck3v3kBmYNaLwFOQ9jSsLw==" spinCount="100000" sheet="1" selectLockedCells="1" selectUnlockedCells="1"/>
  <mergeCells count="18">
    <mergeCell ref="C26:K26"/>
    <mergeCell ref="C28:K28"/>
    <mergeCell ref="C29:K29"/>
    <mergeCell ref="D21:K21"/>
    <mergeCell ref="D22:K22"/>
    <mergeCell ref="C7:K7"/>
    <mergeCell ref="C27:K27"/>
    <mergeCell ref="D18:K18"/>
    <mergeCell ref="D20:K20"/>
    <mergeCell ref="C12:K12"/>
    <mergeCell ref="D24:K24"/>
    <mergeCell ref="C25:K25"/>
    <mergeCell ref="C11:I11"/>
    <mergeCell ref="C13:H13"/>
    <mergeCell ref="C14:K14"/>
    <mergeCell ref="D15:K15"/>
    <mergeCell ref="D16:K16"/>
    <mergeCell ref="D17:K17"/>
  </mergeCells>
  <phoneticPr fontId="8" type="noConversion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FFFF00"/>
  </sheetPr>
  <dimension ref="A1:BH90"/>
  <sheetViews>
    <sheetView zoomScale="80" zoomScaleNormal="80" workbookViewId="0">
      <selection activeCell="B3" sqref="B3:D3"/>
    </sheetView>
  </sheetViews>
  <sheetFormatPr baseColWidth="10" defaultRowHeight="15" x14ac:dyDescent="0.2"/>
  <cols>
    <col min="1" max="1" width="26.140625" style="1" customWidth="1"/>
    <col min="2" max="2" width="15.5703125" style="1" customWidth="1"/>
    <col min="3" max="3" width="4.7109375" style="2" customWidth="1"/>
    <col min="4" max="4" width="10.42578125" style="2" customWidth="1"/>
    <col min="5" max="5" width="8.5703125" style="2" customWidth="1"/>
    <col min="6" max="6" width="7.140625" style="2" hidden="1" customWidth="1"/>
    <col min="7" max="10" width="4.28515625" style="2" customWidth="1"/>
    <col min="11" max="12" width="6.7109375" style="2" hidden="1" customWidth="1"/>
    <col min="13" max="13" width="5.7109375" style="3" customWidth="1"/>
    <col min="14" max="14" width="88.85546875" style="3" customWidth="1"/>
    <col min="15" max="15" width="5.5703125" hidden="1" customWidth="1"/>
    <col min="16" max="17" width="7" style="1" hidden="1" customWidth="1"/>
    <col min="18" max="18" width="22.7109375" style="5" hidden="1" customWidth="1"/>
    <col min="19" max="20" width="7" style="1" hidden="1" customWidth="1"/>
    <col min="21" max="21" width="5.140625" style="1" hidden="1" customWidth="1"/>
    <col min="22" max="22" width="11.140625" style="1" hidden="1" customWidth="1"/>
    <col min="23" max="24" width="5.140625" style="1" hidden="1" customWidth="1"/>
    <col min="25" max="25" width="24.7109375" style="1" hidden="1" customWidth="1"/>
    <col min="26" max="26" width="5.140625" style="1" hidden="1" customWidth="1"/>
    <col min="27" max="27" width="42.85546875" style="4" hidden="1" customWidth="1"/>
    <col min="28" max="28" width="34.28515625" hidden="1" customWidth="1"/>
    <col min="29" max="29" width="33.28515625" hidden="1" customWidth="1"/>
    <col min="30" max="30" width="11.42578125" hidden="1" customWidth="1"/>
    <col min="31" max="33" width="11.42578125" customWidth="1"/>
  </cols>
  <sheetData>
    <row r="1" spans="1:59" ht="15.75" x14ac:dyDescent="0.2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9"/>
      <c r="O1" s="10"/>
      <c r="P1" s="11"/>
      <c r="Q1" s="11"/>
      <c r="R1" s="12"/>
      <c r="S1" s="11"/>
      <c r="T1" s="11"/>
      <c r="U1" s="11"/>
      <c r="V1" s="11"/>
      <c r="W1" s="11"/>
      <c r="X1" s="11"/>
      <c r="Y1" s="11"/>
      <c r="Z1" s="11"/>
      <c r="AA1" s="13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ht="15.75" x14ac:dyDescent="0.25">
      <c r="A2" s="6" t="s">
        <v>78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14"/>
      <c r="O2" s="10"/>
      <c r="P2" s="11"/>
      <c r="Q2" s="11"/>
      <c r="R2" s="12"/>
      <c r="S2" s="11"/>
      <c r="T2" s="11"/>
      <c r="U2" s="11"/>
      <c r="V2" s="11"/>
      <c r="W2" s="11"/>
      <c r="X2" s="11"/>
      <c r="Y2" s="11"/>
      <c r="Z2" s="11"/>
      <c r="AA2" s="13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</row>
    <row r="3" spans="1:59" ht="23.45" customHeight="1" x14ac:dyDescent="0.25">
      <c r="A3" s="141" t="s">
        <v>136</v>
      </c>
      <c r="B3" s="218"/>
      <c r="C3" s="219"/>
      <c r="D3" s="220"/>
      <c r="E3" s="142" t="s">
        <v>85</v>
      </c>
      <c r="F3" s="7"/>
      <c r="G3" s="7"/>
      <c r="H3" s="7"/>
      <c r="I3" s="208"/>
      <c r="J3" s="209"/>
      <c r="K3" s="209"/>
      <c r="L3" s="209"/>
      <c r="M3" s="210"/>
      <c r="N3" s="14"/>
      <c r="O3" s="10"/>
      <c r="P3" s="11"/>
      <c r="Q3" s="11"/>
      <c r="R3" s="12"/>
      <c r="S3" s="11"/>
      <c r="T3" s="11"/>
      <c r="U3" s="11"/>
      <c r="V3" s="11"/>
      <c r="W3" s="11"/>
      <c r="X3" s="11"/>
      <c r="Y3" s="11"/>
      <c r="Z3" s="11"/>
      <c r="AA3" s="13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59" ht="15.75" x14ac:dyDescent="0.25">
      <c r="A4" s="141" t="s">
        <v>84</v>
      </c>
      <c r="B4" s="218"/>
      <c r="C4" s="219"/>
      <c r="D4" s="220"/>
      <c r="E4" s="215" t="s">
        <v>159</v>
      </c>
      <c r="F4" s="216"/>
      <c r="G4" s="216"/>
      <c r="H4" s="216"/>
      <c r="I4" s="217"/>
      <c r="J4" s="72"/>
      <c r="K4" s="143"/>
      <c r="L4" s="143"/>
      <c r="M4" s="144"/>
      <c r="N4" s="14"/>
      <c r="O4" s="10"/>
      <c r="P4" s="11"/>
      <c r="Q4" s="11"/>
      <c r="R4" s="12"/>
      <c r="S4" s="11"/>
      <c r="T4" s="11"/>
      <c r="U4" s="11"/>
      <c r="V4" s="11"/>
      <c r="W4" s="11"/>
      <c r="X4" s="11"/>
      <c r="Y4" s="11"/>
      <c r="Z4" s="11"/>
      <c r="AA4" s="13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59" ht="15.75" x14ac:dyDescent="0.25">
      <c r="A5" s="11" t="s">
        <v>171</v>
      </c>
      <c r="B5" s="141"/>
      <c r="C5" s="7"/>
      <c r="D5" s="141"/>
      <c r="E5" s="141"/>
      <c r="F5" s="141"/>
      <c r="G5" s="141"/>
      <c r="H5" s="141"/>
      <c r="I5" s="141"/>
      <c r="J5" s="72"/>
      <c r="K5" s="143"/>
      <c r="L5" s="143"/>
      <c r="M5" s="144"/>
      <c r="N5" s="165" t="str">
        <f>IF(AND($J$6="eth",$J$5&lt;&gt;"eth"),"Abmeldung vom Religionsunterricht beim OSK vornehmen!","")</f>
        <v/>
      </c>
      <c r="O5" s="10"/>
      <c r="P5" s="11"/>
      <c r="Q5" s="11"/>
      <c r="R5" s="12"/>
      <c r="S5" s="11"/>
      <c r="T5" s="11"/>
      <c r="U5" s="11"/>
      <c r="V5" s="11"/>
      <c r="W5" s="11"/>
      <c r="X5" s="11"/>
      <c r="Y5" s="11"/>
      <c r="Z5" s="11"/>
      <c r="AA5" s="13"/>
      <c r="AB5" s="10"/>
      <c r="AC5" s="10"/>
      <c r="AD5" s="10"/>
      <c r="AE5" s="10"/>
      <c r="AF5" s="167"/>
      <c r="AG5" s="167"/>
      <c r="AH5" s="16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59" ht="15.75" x14ac:dyDescent="0.25">
      <c r="A6" s="11" t="s">
        <v>170</v>
      </c>
      <c r="B6" s="6"/>
      <c r="C6" s="7"/>
      <c r="D6" s="7"/>
      <c r="E6" s="7"/>
      <c r="F6" s="7"/>
      <c r="G6" s="7"/>
      <c r="I6" s="7"/>
      <c r="J6" s="72"/>
      <c r="K6" s="7"/>
      <c r="L6" s="7"/>
      <c r="M6" s="8"/>
      <c r="N6" s="165" t="b">
        <f>IF($J$6="eth",IF(OR($J$5="ev",$J$5="k"),IF(OR(E20="C",E20="S"),"Am Ende der 10. Klasse muss eine Feststellungsprüfung in Ethik abgelegt werden!","")))</f>
        <v>0</v>
      </c>
      <c r="O6" s="10"/>
      <c r="P6" s="11"/>
      <c r="Q6" s="11"/>
      <c r="R6" s="12"/>
      <c r="S6" s="11"/>
      <c r="T6" s="11"/>
      <c r="U6" s="11"/>
      <c r="V6" s="11"/>
      <c r="W6" s="11"/>
      <c r="X6" s="11"/>
      <c r="Y6" s="11"/>
      <c r="Z6" s="11"/>
      <c r="AA6" s="13"/>
      <c r="AB6" s="10"/>
      <c r="AC6" s="10"/>
      <c r="AD6" s="10"/>
      <c r="AE6" s="10"/>
      <c r="AF6" s="167"/>
      <c r="AG6" s="167"/>
      <c r="AH6" s="16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15.75" x14ac:dyDescent="0.25">
      <c r="A7" s="15" t="s">
        <v>73</v>
      </c>
      <c r="B7" s="6"/>
      <c r="C7" s="7"/>
      <c r="D7" s="7"/>
      <c r="E7" s="7"/>
      <c r="F7" s="7"/>
      <c r="G7" s="7"/>
      <c r="H7" s="147"/>
      <c r="I7" s="7"/>
      <c r="J7" s="7"/>
      <c r="K7" s="7"/>
      <c r="L7" s="7"/>
      <c r="M7" s="8"/>
      <c r="N7" s="71" t="s">
        <v>80</v>
      </c>
      <c r="O7" s="10"/>
      <c r="P7" s="11"/>
      <c r="Q7" s="11"/>
      <c r="R7" s="12"/>
      <c r="S7" s="11"/>
      <c r="T7" s="11"/>
      <c r="U7" s="11"/>
      <c r="V7" s="11"/>
      <c r="W7" s="11"/>
      <c r="X7" s="11"/>
      <c r="Y7" s="11"/>
      <c r="Z7" s="11"/>
      <c r="AA7" s="13"/>
      <c r="AB7" s="10"/>
      <c r="AC7" s="10"/>
      <c r="AD7" s="10"/>
      <c r="AE7" s="10"/>
      <c r="AF7" s="167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5.75" x14ac:dyDescent="0.25">
      <c r="A8" s="11" t="s">
        <v>189</v>
      </c>
      <c r="B8" s="6"/>
      <c r="C8" s="7"/>
      <c r="D8" s="7"/>
      <c r="E8" s="7"/>
      <c r="F8" s="7"/>
      <c r="G8" s="7"/>
      <c r="H8" s="72"/>
      <c r="I8" s="7"/>
      <c r="J8" s="7"/>
      <c r="K8" s="7"/>
      <c r="L8" s="7"/>
      <c r="M8" s="8"/>
      <c r="N8" s="71"/>
      <c r="O8" s="10"/>
      <c r="P8" s="11"/>
      <c r="Q8" s="11"/>
      <c r="R8" s="12"/>
      <c r="S8" s="11"/>
      <c r="T8" s="11"/>
      <c r="U8" s="11"/>
      <c r="V8" s="11"/>
      <c r="W8" s="11"/>
      <c r="X8" s="11"/>
      <c r="Y8" s="11"/>
      <c r="Z8" s="11"/>
      <c r="AA8" s="13"/>
      <c r="AB8" s="10"/>
      <c r="AC8" s="10"/>
      <c r="AD8" s="10"/>
      <c r="AE8" s="10"/>
      <c r="AF8" s="167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6.149999999999999" customHeight="1" x14ac:dyDescent="0.35">
      <c r="A9" s="1" t="s">
        <v>203</v>
      </c>
      <c r="F9" s="70"/>
      <c r="G9" s="211"/>
      <c r="H9" s="212"/>
      <c r="I9" s="7"/>
      <c r="J9" s="7"/>
      <c r="K9" s="7"/>
      <c r="L9" s="7"/>
      <c r="M9" s="150"/>
      <c r="N9" s="177" t="s">
        <v>183</v>
      </c>
      <c r="O9" s="149"/>
      <c r="P9" s="149"/>
      <c r="Q9" s="149"/>
      <c r="R9" s="149"/>
      <c r="S9" s="11"/>
      <c r="T9" s="11"/>
      <c r="U9" s="11"/>
      <c r="V9" s="11"/>
      <c r="W9" s="11"/>
      <c r="X9" s="11"/>
      <c r="Y9" s="11"/>
      <c r="Z9" s="11"/>
      <c r="AA9" s="13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6.149999999999999" customHeight="1" x14ac:dyDescent="0.2">
      <c r="F10" s="70"/>
      <c r="G10" s="149"/>
      <c r="H10" s="149"/>
      <c r="I10" s="149"/>
      <c r="J10" s="149"/>
      <c r="K10" s="11"/>
      <c r="L10" s="11"/>
      <c r="M10" s="11"/>
      <c r="N10" s="11"/>
      <c r="O10" s="11"/>
      <c r="P10" s="11"/>
      <c r="Q10" s="11"/>
      <c r="R10" s="11"/>
      <c r="S10" s="1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9" ht="16.149999999999999" customHeight="1" x14ac:dyDescent="0.25">
      <c r="A11" s="1" t="s">
        <v>198</v>
      </c>
      <c r="F11" s="70"/>
      <c r="G11" s="149"/>
      <c r="H11" s="149"/>
      <c r="I11" s="149"/>
      <c r="J11" s="149"/>
      <c r="K11" s="11"/>
      <c r="L11" s="11"/>
      <c r="M11" s="72"/>
      <c r="O11" s="143"/>
      <c r="P11" s="143"/>
      <c r="Q11" s="144"/>
      <c r="R11" s="11"/>
      <c r="S11" s="13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9" ht="10.9" customHeight="1" x14ac:dyDescent="0.2">
      <c r="A12" s="11"/>
      <c r="B12" s="11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4"/>
      <c r="N12" s="14"/>
      <c r="O12" s="10"/>
      <c r="P12" s="17" t="s">
        <v>1</v>
      </c>
      <c r="Q12" s="17"/>
      <c r="R12" s="12"/>
      <c r="S12" s="11"/>
      <c r="T12" s="11"/>
      <c r="U12" s="11"/>
      <c r="V12" s="11"/>
      <c r="W12" s="11"/>
      <c r="X12" s="11"/>
      <c r="Y12" s="11"/>
      <c r="Z12" s="11"/>
      <c r="AA12" s="13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ht="15" customHeight="1" x14ac:dyDescent="0.2">
      <c r="A13" s="221" t="s">
        <v>2</v>
      </c>
      <c r="B13" s="56"/>
      <c r="C13" s="202" t="s">
        <v>3</v>
      </c>
      <c r="D13" s="202" t="s">
        <v>4</v>
      </c>
      <c r="E13" s="200" t="s">
        <v>194</v>
      </c>
      <c r="F13" s="202" t="s">
        <v>5</v>
      </c>
      <c r="G13" s="203" t="s">
        <v>6</v>
      </c>
      <c r="H13" s="204"/>
      <c r="I13" s="204"/>
      <c r="J13" s="205"/>
      <c r="K13" s="206" t="s">
        <v>7</v>
      </c>
      <c r="L13" s="206" t="s">
        <v>8</v>
      </c>
      <c r="M13" s="14"/>
      <c r="N13" s="14"/>
      <c r="O13" s="10"/>
      <c r="P13" s="18" t="s">
        <v>9</v>
      </c>
      <c r="Q13" s="17" t="s">
        <v>10</v>
      </c>
      <c r="R13" s="12"/>
      <c r="S13" s="11"/>
      <c r="T13" s="11"/>
      <c r="U13" s="19" t="s">
        <v>65</v>
      </c>
      <c r="V13" s="17"/>
      <c r="W13" s="17"/>
      <c r="X13" s="19" t="s">
        <v>64</v>
      </c>
      <c r="Y13" s="19"/>
      <c r="Z13" s="20"/>
      <c r="AA13" s="1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">
      <c r="A14" s="222"/>
      <c r="B14" s="56"/>
      <c r="C14" s="201"/>
      <c r="D14" s="201"/>
      <c r="E14" s="201"/>
      <c r="F14" s="201"/>
      <c r="G14" s="21" t="s">
        <v>11</v>
      </c>
      <c r="H14" s="22" t="s">
        <v>12</v>
      </c>
      <c r="I14" s="21" t="s">
        <v>13</v>
      </c>
      <c r="J14" s="23" t="s">
        <v>14</v>
      </c>
      <c r="K14" s="207"/>
      <c r="L14" s="207"/>
      <c r="M14" s="14"/>
      <c r="N14" s="14"/>
      <c r="O14" s="10"/>
      <c r="P14" s="18"/>
      <c r="Q14" s="17" t="s">
        <v>15</v>
      </c>
      <c r="R14" s="12"/>
      <c r="S14" s="11"/>
      <c r="T14" s="11"/>
      <c r="U14" s="11"/>
      <c r="V14" s="11"/>
      <c r="W14" s="11"/>
      <c r="X14" s="11"/>
      <c r="Y14" s="11"/>
      <c r="Z14" s="11"/>
      <c r="AA14" s="1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ht="15.75" x14ac:dyDescent="0.25">
      <c r="A15" s="57" t="s">
        <v>16</v>
      </c>
      <c r="B15" s="58"/>
      <c r="C15" s="24"/>
      <c r="D15" s="25"/>
      <c r="E15" s="26"/>
      <c r="F15" s="25"/>
      <c r="G15" s="25"/>
      <c r="H15" s="16"/>
      <c r="I15" s="25"/>
      <c r="J15" s="27"/>
      <c r="K15" s="28"/>
      <c r="L15" s="28"/>
      <c r="M15" s="14"/>
      <c r="N15" s="14"/>
      <c r="O15" s="10"/>
      <c r="P15" s="11"/>
      <c r="Q15" s="11"/>
      <c r="R15" s="12"/>
      <c r="S15" s="11"/>
      <c r="T15" s="11"/>
      <c r="U15" s="11"/>
      <c r="V15" s="11"/>
      <c r="W15" s="11"/>
      <c r="X15" s="11"/>
      <c r="Y15" s="11"/>
      <c r="Z15" s="11"/>
      <c r="AA15" s="13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ht="15.75" x14ac:dyDescent="0.25">
      <c r="A16" s="59" t="s">
        <v>17</v>
      </c>
      <c r="B16" s="60"/>
      <c r="C16" s="46">
        <v>4</v>
      </c>
      <c r="D16" s="46" t="s">
        <v>18</v>
      </c>
      <c r="E16" s="181" t="s">
        <v>18</v>
      </c>
      <c r="F16" s="46" t="s">
        <v>18</v>
      </c>
      <c r="G16" s="46">
        <v>4</v>
      </c>
      <c r="H16" s="46">
        <v>4</v>
      </c>
      <c r="I16" s="46">
        <v>4</v>
      </c>
      <c r="J16" s="46">
        <v>4</v>
      </c>
      <c r="K16" s="30"/>
      <c r="L16" s="30"/>
      <c r="M16" s="29"/>
      <c r="N16" s="29" t="str">
        <f>IF(Q16&gt;0,"Deutsch muss verbindlich mit S belegt werden","_")</f>
        <v>_</v>
      </c>
      <c r="O16" s="10"/>
      <c r="P16" s="11"/>
      <c r="Q16" s="11">
        <f>IF(E16="S",0,1)</f>
        <v>0</v>
      </c>
      <c r="R16" s="31" t="s">
        <v>62</v>
      </c>
      <c r="S16" s="11"/>
      <c r="T16" s="11"/>
      <c r="U16" s="11">
        <f>IF(E16="C",1+MAX(#REF!),0)</f>
        <v>0</v>
      </c>
      <c r="V16" s="11"/>
      <c r="W16" s="11"/>
      <c r="X16" s="11">
        <v>1</v>
      </c>
      <c r="Y16" s="11" t="str">
        <f t="shared" ref="Y16:Y21" si="0">IF(X16=0,"",IF(X16=1,A16,CONCATENATE(", ",A16)))</f>
        <v>Deutsch</v>
      </c>
      <c r="Z16" s="11"/>
      <c r="AA16" s="13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60" ht="15.75" x14ac:dyDescent="0.25">
      <c r="A17" s="59" t="s">
        <v>19</v>
      </c>
      <c r="B17" s="60"/>
      <c r="C17" s="46">
        <v>4</v>
      </c>
      <c r="D17" s="46" t="s">
        <v>18</v>
      </c>
      <c r="E17" s="181" t="s">
        <v>18</v>
      </c>
      <c r="F17" s="46" t="s">
        <v>18</v>
      </c>
      <c r="G17" s="46">
        <v>4</v>
      </c>
      <c r="H17" s="46">
        <v>4</v>
      </c>
      <c r="I17" s="46">
        <v>4</v>
      </c>
      <c r="J17" s="46">
        <v>4</v>
      </c>
      <c r="K17" s="34"/>
      <c r="L17" s="34"/>
      <c r="M17" s="33"/>
      <c r="N17" s="33" t="str">
        <f>IF(Q17&gt;0,"Mathematik muss verbindlich mit S belegt werden","_")</f>
        <v>_</v>
      </c>
      <c r="O17" s="10"/>
      <c r="P17" s="11"/>
      <c r="Q17" s="11">
        <f>IF(E17="S",0,1)</f>
        <v>0</v>
      </c>
      <c r="R17" s="31" t="s">
        <v>61</v>
      </c>
      <c r="S17" s="11"/>
      <c r="T17" s="11"/>
      <c r="U17" s="11">
        <f>IF(E17="C",1+MAX(U$16:U16),0)</f>
        <v>0</v>
      </c>
      <c r="V17" s="11"/>
      <c r="W17" s="11"/>
      <c r="X17" s="11">
        <v>2</v>
      </c>
      <c r="Y17" s="11" t="str">
        <f t="shared" si="0"/>
        <v>, Mathematik</v>
      </c>
      <c r="Z17" s="11"/>
      <c r="AA17" s="13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60" ht="15.75" x14ac:dyDescent="0.25">
      <c r="A18" s="59" t="s">
        <v>22</v>
      </c>
      <c r="B18" s="60"/>
      <c r="C18" s="46">
        <v>2</v>
      </c>
      <c r="D18" s="54" t="s">
        <v>20</v>
      </c>
      <c r="E18" s="148"/>
      <c r="F18" s="46" t="str">
        <f>IF(OR($J$6="ev",$J$6="Ev"),"X","")</f>
        <v/>
      </c>
      <c r="G18" s="46" t="str">
        <f>IF(F18="","",2)</f>
        <v/>
      </c>
      <c r="H18" s="46" t="str">
        <f>IF(F18="","",2)</f>
        <v/>
      </c>
      <c r="I18" s="46" t="str">
        <f>IF(F18="","",2)</f>
        <v/>
      </c>
      <c r="J18" s="46" t="str">
        <f>IF(F18="","",2)</f>
        <v/>
      </c>
      <c r="K18" s="34"/>
      <c r="L18" s="34"/>
      <c r="M18" s="33"/>
      <c r="N18" s="33" t="str">
        <f>IF(AND($P$18=0,$J$6="ev"),"Belegung eintragen: X, C oder S","_")</f>
        <v>_</v>
      </c>
      <c r="O18" s="10"/>
      <c r="P18" s="11">
        <f>COUNTIF(E18:E20,"X")+COUNTIF(E18:E20,"S")+COUNTIF(E18:E20,"C")</f>
        <v>0</v>
      </c>
      <c r="Q18" s="11">
        <f>IF(P18=0,1,0)</f>
        <v>1</v>
      </c>
      <c r="R18" s="31" t="s">
        <v>66</v>
      </c>
      <c r="S18" s="11"/>
      <c r="T18" s="11"/>
      <c r="U18" s="11">
        <f>IF(E18="C",1+MAX(U$16:U17),0)</f>
        <v>0</v>
      </c>
      <c r="V18" s="11" t="str">
        <f>IF(U18=0,"",IF(U18=1,A18,CONCATENATE(", ",A18)))</f>
        <v/>
      </c>
      <c r="W18" s="11"/>
      <c r="X18" s="11">
        <f>IF(E18="S",1+MAX(X$16:X17),0)</f>
        <v>0</v>
      </c>
      <c r="Y18" s="11" t="str">
        <f t="shared" si="0"/>
        <v/>
      </c>
      <c r="Z18" s="11"/>
      <c r="AA18" s="13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60" ht="15.75" x14ac:dyDescent="0.25">
      <c r="A19" s="59" t="s">
        <v>21</v>
      </c>
      <c r="B19" s="60"/>
      <c r="C19" s="46">
        <v>2</v>
      </c>
      <c r="D19" s="54" t="s">
        <v>20</v>
      </c>
      <c r="E19" s="148"/>
      <c r="F19" s="46" t="str">
        <f>IF(OR($J$6="k",$J$6="K"),"X","")</f>
        <v/>
      </c>
      <c r="G19" s="46" t="str">
        <f>IF(F19="","",2)</f>
        <v/>
      </c>
      <c r="H19" s="46" t="str">
        <f>IF(F19="","",2)</f>
        <v/>
      </c>
      <c r="I19" s="46" t="str">
        <f>IF(F19="","",2)</f>
        <v/>
      </c>
      <c r="J19" s="46" t="str">
        <f>IF(F19="","",2)</f>
        <v/>
      </c>
      <c r="K19" s="34"/>
      <c r="L19" s="34"/>
      <c r="M19" s="33"/>
      <c r="N19" s="33" t="str">
        <f>IF(AND($P$18=0,$J$6="k"),"Belegung eintragen: X, C oder S","_")</f>
        <v>_</v>
      </c>
      <c r="O19" s="10"/>
      <c r="P19" s="11"/>
      <c r="Q19" s="11">
        <f>IF(OR(AND(E44="X",B44="Vokalensemble"),AND(E44="X",B44="Instrumentalensemble"),E44="A",B44=""),0,1)</f>
        <v>0</v>
      </c>
      <c r="R19" s="31" t="s">
        <v>172</v>
      </c>
      <c r="S19" s="11"/>
      <c r="T19" s="11"/>
      <c r="U19" s="11">
        <f>IF(E19="C",1+MAX(U$16:U18),0)</f>
        <v>0</v>
      </c>
      <c r="V19" s="11" t="str">
        <f>IF(U19=0,"",IF(U19=1,A19,CONCATENATE(", ",A19)))</f>
        <v/>
      </c>
      <c r="W19" s="11"/>
      <c r="X19" s="11">
        <f>IF(E19="S",1+MAX(X$16:X18),0)</f>
        <v>0</v>
      </c>
      <c r="Y19" s="11" t="str">
        <f t="shared" si="0"/>
        <v/>
      </c>
      <c r="Z19" s="11"/>
      <c r="AA19" s="13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60" ht="15.75" x14ac:dyDescent="0.25">
      <c r="A20" s="59" t="s">
        <v>23</v>
      </c>
      <c r="B20" s="60"/>
      <c r="C20" s="46">
        <v>2</v>
      </c>
      <c r="D20" s="54" t="s">
        <v>20</v>
      </c>
      <c r="E20" s="148"/>
      <c r="F20" s="46" t="str">
        <f>IF(OR($J$6="eth",$J$6="Eth"),"X","")</f>
        <v/>
      </c>
      <c r="G20" s="46" t="str">
        <f>IF(F20="","",2)</f>
        <v/>
      </c>
      <c r="H20" s="46" t="str">
        <f>IF(F20="","",2)</f>
        <v/>
      </c>
      <c r="I20" s="46" t="str">
        <f>IF(F20="","",2)</f>
        <v/>
      </c>
      <c r="J20" s="46" t="str">
        <f>IF(F20="","",2)</f>
        <v/>
      </c>
      <c r="K20" s="34"/>
      <c r="L20" s="34"/>
      <c r="M20" s="33"/>
      <c r="N20" s="33" t="str">
        <f>IF(AND($P$18=0,$J$6="eth"),"Belegung eintragen: X, C oder S","_")</f>
        <v>_</v>
      </c>
      <c r="O20" s="10"/>
      <c r="P20" s="11"/>
      <c r="Q20" s="11">
        <f>IF(OR(AND(E46="X",B46="Vokalensemble"),AND(E46="X",B46="Instrumentalensemble"),E46="A",B46=""),0,1)</f>
        <v>0</v>
      </c>
      <c r="R20" s="31" t="s">
        <v>172</v>
      </c>
      <c r="S20" s="11"/>
      <c r="T20" s="11"/>
      <c r="U20" s="11">
        <f>IF(E20="C",1+MAX(U$16:U19),0)</f>
        <v>0</v>
      </c>
      <c r="V20" s="11" t="str">
        <f>IF(U20=0,"",IF(U20=1,A20,CONCATENATE(", ",A20)))</f>
        <v/>
      </c>
      <c r="W20" s="11"/>
      <c r="X20" s="11">
        <f>IF(E20="S",1+MAX(X$16:X19),0)</f>
        <v>0</v>
      </c>
      <c r="Y20" s="11" t="str">
        <f t="shared" si="0"/>
        <v/>
      </c>
      <c r="Z20" s="11"/>
      <c r="AA20" s="13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60" ht="15.75" x14ac:dyDescent="0.25">
      <c r="A21" s="59" t="s">
        <v>71</v>
      </c>
      <c r="B21" s="60"/>
      <c r="C21" s="46">
        <v>2</v>
      </c>
      <c r="D21" s="46" t="s">
        <v>20</v>
      </c>
      <c r="E21" s="72"/>
      <c r="F21" s="46" t="str">
        <f>IF(OR(E21="S",E21="C",E21="X"),E21,"")</f>
        <v/>
      </c>
      <c r="G21" s="46">
        <v>2</v>
      </c>
      <c r="H21" s="46">
        <v>2</v>
      </c>
      <c r="I21" s="46">
        <v>2</v>
      </c>
      <c r="J21" s="46">
        <v>2</v>
      </c>
      <c r="K21" s="34"/>
      <c r="L21" s="34"/>
      <c r="M21" s="33"/>
      <c r="N21" s="35" t="str">
        <f>IF(Q21&gt;0,"Geschichte muss 4 Semester belegt werden (X, C oder S)","_")</f>
        <v>Geschichte muss 4 Semester belegt werden (X, C oder S)</v>
      </c>
      <c r="O21" s="10"/>
      <c r="P21" s="11"/>
      <c r="Q21" s="11">
        <f>IF(OR(E21="S",E21="C",E21="X"),0,1)</f>
        <v>1</v>
      </c>
      <c r="R21" s="31"/>
      <c r="S21" s="11"/>
      <c r="T21" s="11"/>
      <c r="U21" s="11">
        <f>IF(E21="C",1+MAX(U$16:U20),0)</f>
        <v>0</v>
      </c>
      <c r="V21" s="11" t="str">
        <f>IF(U21=0,"",IF(U21=1,A21,CONCATENATE(", ",A21)))</f>
        <v/>
      </c>
      <c r="W21" s="11"/>
      <c r="X21" s="11">
        <f>IF(E21="S",1+MAX(X$16:X20),0)</f>
        <v>0</v>
      </c>
      <c r="Y21" s="11" t="str">
        <f t="shared" si="0"/>
        <v/>
      </c>
      <c r="Z21" s="11"/>
      <c r="AA21" s="13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60" ht="15.75" x14ac:dyDescent="0.25">
      <c r="A22" s="59" t="s">
        <v>72</v>
      </c>
      <c r="B22" s="60"/>
      <c r="C22" s="46">
        <v>1</v>
      </c>
      <c r="D22" s="46" t="s">
        <v>20</v>
      </c>
      <c r="E22" s="72"/>
      <c r="F22" s="46" t="str">
        <f>IF(OR(E22="S",E22="C",E22="X"),E22,"")</f>
        <v/>
      </c>
      <c r="G22" s="46">
        <v>1</v>
      </c>
      <c r="H22" s="46">
        <v>1</v>
      </c>
      <c r="I22" s="46">
        <v>1</v>
      </c>
      <c r="J22" s="46">
        <v>1</v>
      </c>
      <c r="K22" s="34"/>
      <c r="L22" s="34"/>
      <c r="M22" s="36"/>
      <c r="N22" s="35" t="str">
        <f>IF(Q22&gt;0,"+Sozialkunde muss 4 Semester belegt werden (X, C oder S)","_")</f>
        <v>+Sozialkunde muss 4 Semester belegt werden (X, C oder S)</v>
      </c>
      <c r="O22" s="10"/>
      <c r="P22" s="11"/>
      <c r="Q22" s="11">
        <f>IF(OR(E22="S",E22="C",E22="X"),0,1)</f>
        <v>1</v>
      </c>
      <c r="R22" s="31" t="s">
        <v>60</v>
      </c>
      <c r="S22" s="31"/>
      <c r="T22" s="11"/>
      <c r="U22" s="11">
        <f>IF(E22="C",1+MAX(U$16:U21),0)</f>
        <v>0</v>
      </c>
      <c r="W22" s="11" t="str">
        <f>IF(U22=0,"",IF(U22=1,AB22,CONCATENATE(", ",AB22)))</f>
        <v/>
      </c>
      <c r="X22" s="11">
        <f>IF(E22="S",1+MAX(X$16:X21),0)</f>
        <v>0</v>
      </c>
      <c r="Y22" s="11" t="str">
        <f>IF(X22=0,"",IF(X22=1,AB22,CONCATENATE(", ",AB22)))</f>
        <v/>
      </c>
      <c r="Z22" s="11"/>
      <c r="AA22" s="11"/>
      <c r="AB22" s="20" t="s">
        <v>77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ht="15.75" x14ac:dyDescent="0.25">
      <c r="A23" s="59" t="s">
        <v>24</v>
      </c>
      <c r="B23" s="60"/>
      <c r="C23" s="46">
        <v>2</v>
      </c>
      <c r="D23" s="46" t="s">
        <v>20</v>
      </c>
      <c r="E23" s="72"/>
      <c r="F23" s="46" t="str">
        <f>IF(OR(E23="S",E23="C",E23="X"),E23,"")</f>
        <v/>
      </c>
      <c r="G23" s="46">
        <v>2</v>
      </c>
      <c r="H23" s="46">
        <v>2</v>
      </c>
      <c r="I23" s="46">
        <v>2</v>
      </c>
      <c r="J23" s="46">
        <v>2</v>
      </c>
      <c r="K23" s="37"/>
      <c r="L23" s="37"/>
      <c r="M23" s="36"/>
      <c r="N23" s="35" t="str">
        <f>IF(Q23&gt;0,"Sport muss 4 Semester belegt werden (X,C oder S)","_")</f>
        <v>Sport muss 4 Semester belegt werden (X,C oder S)</v>
      </c>
      <c r="O23" s="10"/>
      <c r="P23" s="11"/>
      <c r="Q23" s="11">
        <f>IF(OR(E23="S",E23="C",E23="X"),0,1)</f>
        <v>1</v>
      </c>
      <c r="R23" s="31" t="s">
        <v>59</v>
      </c>
      <c r="S23" s="11"/>
      <c r="T23" s="11"/>
      <c r="U23" s="11">
        <f>IF(E23="C",1+MAX(U$16:U22),0)</f>
        <v>0</v>
      </c>
      <c r="V23" s="11" t="str">
        <f>IF(U23=0,"",IF(U23=1,A23,CONCATENATE(", ",A23)))</f>
        <v/>
      </c>
      <c r="W23" s="11"/>
      <c r="X23" s="11">
        <f>IF(E23="S",1+MAX(X$16:X22),0)</f>
        <v>0</v>
      </c>
      <c r="Y23" s="11" t="str">
        <f>IF(X23=0,"",IF(X23=1,A23,CONCATENATE(", ",A23)))</f>
        <v/>
      </c>
      <c r="Z23" s="11"/>
      <c r="AA23" s="13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60" ht="9" customHeight="1" x14ac:dyDescent="0.25">
      <c r="A24" s="62"/>
      <c r="B24" s="63"/>
      <c r="C24" s="52"/>
      <c r="D24" s="52"/>
      <c r="E24" s="64"/>
      <c r="F24" s="52"/>
      <c r="G24" s="52"/>
      <c r="H24" s="52"/>
      <c r="I24" s="52"/>
      <c r="J24" s="27"/>
      <c r="K24" s="28"/>
      <c r="L24" s="28"/>
      <c r="M24" s="14"/>
      <c r="N24" s="14"/>
      <c r="O24" s="10"/>
      <c r="P24" s="11"/>
      <c r="Q24" s="11"/>
      <c r="R24" s="31"/>
      <c r="S24" s="11"/>
      <c r="T24" s="11"/>
      <c r="U24" s="11"/>
      <c r="V24" s="11"/>
      <c r="W24" s="11"/>
      <c r="X24" s="11"/>
      <c r="Y24" s="11"/>
      <c r="Z24" s="11"/>
      <c r="AA24" s="13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60" ht="15.75" x14ac:dyDescent="0.25">
      <c r="A25" s="65" t="s">
        <v>25</v>
      </c>
      <c r="B25" s="66"/>
      <c r="C25" s="53"/>
      <c r="D25" s="53"/>
      <c r="E25" s="67"/>
      <c r="F25" s="53"/>
      <c r="G25" s="53"/>
      <c r="H25" s="53"/>
      <c r="I25" s="53"/>
      <c r="J25" s="43"/>
      <c r="K25" s="28"/>
      <c r="L25" s="28"/>
      <c r="M25" s="14"/>
      <c r="N25" s="14"/>
      <c r="O25" s="10"/>
      <c r="P25" s="11"/>
      <c r="Q25" s="11">
        <f>IF(OR(AND(E48="X",B48="Vokalensemble"),AND(E48="X",B48="Instrumentalensemble"),E48="A",B48=""),0,1)</f>
        <v>0</v>
      </c>
      <c r="R25" s="31" t="s">
        <v>172</v>
      </c>
      <c r="S25" s="11"/>
      <c r="T25" s="11"/>
      <c r="U25" s="11"/>
      <c r="V25" s="11" t="str">
        <f>IF(U25=0,"",IF(U25=1,A25,CONCATENATE(", ",A25)))</f>
        <v/>
      </c>
      <c r="W25" s="11"/>
      <c r="X25" s="11">
        <f>IF(E25="S",1+MAX(X$16:X24),0)</f>
        <v>0</v>
      </c>
      <c r="Y25" s="11" t="str">
        <f>IF(X25=0,"",IF(X25=1,A25,CONCATENATE(", ",A25)))</f>
        <v/>
      </c>
      <c r="Z25" s="11"/>
      <c r="AA25" s="13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60" ht="15.75" x14ac:dyDescent="0.25">
      <c r="A26" s="59" t="s">
        <v>26</v>
      </c>
      <c r="B26" s="175"/>
      <c r="C26" s="46">
        <v>4</v>
      </c>
      <c r="D26" s="54" t="s">
        <v>27</v>
      </c>
      <c r="E26" s="72"/>
      <c r="F26" s="46" t="str">
        <f>IF(OR(E26="S",E26="C"),E26,"")</f>
        <v/>
      </c>
      <c r="G26" s="46">
        <v>4</v>
      </c>
      <c r="H26" s="46">
        <v>4</v>
      </c>
      <c r="I26" s="46">
        <v>4</v>
      </c>
      <c r="J26" s="46">
        <v>4</v>
      </c>
      <c r="K26" s="30"/>
      <c r="L26" s="30"/>
      <c r="M26" s="29"/>
      <c r="N26" s="29" t="str">
        <f>IF(Q26&gt;0,"Die 1. Fremdsprache muss verbindlich mit S oder C belegt werden","_")</f>
        <v>Die 1. Fremdsprache muss verbindlich mit S oder C belegt werden</v>
      </c>
      <c r="O26" s="10"/>
      <c r="P26" s="11"/>
      <c r="Q26" s="11">
        <f>IF(OR(E26="S",E26="C"),0,1)</f>
        <v>1</v>
      </c>
      <c r="R26" s="31" t="s">
        <v>58</v>
      </c>
      <c r="S26" s="11"/>
      <c r="T26" s="11"/>
      <c r="U26" s="11">
        <f>IF(E26="C",1+MAX(U$16:U25),0)</f>
        <v>0</v>
      </c>
      <c r="V26" s="11" t="str">
        <f>IF(U26=0,"",IF(U26=1,B26,CONCATENATE(", ",B26)))</f>
        <v/>
      </c>
      <c r="W26" s="11"/>
      <c r="X26" s="11">
        <f>IF(E26="S",1+MAX(X$16:X25),0)</f>
        <v>0</v>
      </c>
      <c r="Y26" s="11" t="str">
        <f>IF(X26=0,"",IF(X26=1,B26,CONCATENATE(", ",B26)))</f>
        <v/>
      </c>
      <c r="Z26" s="11"/>
      <c r="AA26" s="13"/>
      <c r="AB26" s="10"/>
      <c r="AC26" s="10"/>
      <c r="AD26" s="10"/>
      <c r="AE26" s="10"/>
      <c r="AF26" s="167"/>
      <c r="AG26" s="1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60" ht="15.75" x14ac:dyDescent="0.25">
      <c r="A27" s="59" t="s">
        <v>28</v>
      </c>
      <c r="B27" s="175"/>
      <c r="C27" s="46">
        <v>3</v>
      </c>
      <c r="D27" s="46" t="s">
        <v>20</v>
      </c>
      <c r="E27" s="72"/>
      <c r="F27" s="46" t="str">
        <f>IF(OR(E27="S",E27="C",E27="X"),E27,"")</f>
        <v/>
      </c>
      <c r="G27" s="46">
        <v>3</v>
      </c>
      <c r="H27" s="46">
        <v>3</v>
      </c>
      <c r="I27" s="46">
        <v>3</v>
      </c>
      <c r="J27" s="46">
        <v>3</v>
      </c>
      <c r="K27" s="34"/>
      <c r="L27" s="34"/>
      <c r="M27" s="33"/>
      <c r="N27" s="33" t="str">
        <f>IF(Q27&gt;0,"Die 1. Naturwissenschaft muss 4 Semester belegt werden (X, C oder S)","")</f>
        <v>Die 1. Naturwissenschaft muss 4 Semester belegt werden (X, C oder S)</v>
      </c>
      <c r="O27" s="10"/>
      <c r="P27" s="11"/>
      <c r="Q27" s="11">
        <f>IF(OR(E27="S",E27="C",E27="X"),0,1)</f>
        <v>1</v>
      </c>
      <c r="R27" s="31" t="s">
        <v>57</v>
      </c>
      <c r="S27" s="11"/>
      <c r="T27" s="11"/>
      <c r="U27" s="11">
        <f>IF(E27="C",1+MAX(U$16:U26),0)</f>
        <v>0</v>
      </c>
      <c r="V27" s="11" t="str">
        <f>IF(U27=0,"",IF(U27=1,B27,CONCATENATE(", ",B27)))</f>
        <v/>
      </c>
      <c r="W27" s="11"/>
      <c r="X27" s="11">
        <f>IF(E27="S",1+MAX(X$16:X26),0)</f>
        <v>0</v>
      </c>
      <c r="Y27" s="11" t="str">
        <f>IF(X27=0,"",IF(X27=1,B27,CONCATENATE(", ",B27)))</f>
        <v/>
      </c>
      <c r="Z27" s="11"/>
      <c r="AA27" s="13"/>
      <c r="AB27" s="10"/>
      <c r="AC27" s="10"/>
      <c r="AD27" s="10"/>
      <c r="AE27" s="10"/>
      <c r="AF27" s="167"/>
      <c r="AG27" s="167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60" ht="15.75" x14ac:dyDescent="0.25">
      <c r="A28" s="59" t="s">
        <v>29</v>
      </c>
      <c r="B28" s="175"/>
      <c r="C28" s="46">
        <v>4</v>
      </c>
      <c r="D28" s="54" t="s">
        <v>75</v>
      </c>
      <c r="E28" s="72"/>
      <c r="F28" s="46" t="str">
        <f>IF(OR(E28="A",E28="B",E28="X",E28="C",E28="S"),E28,"")</f>
        <v/>
      </c>
      <c r="G28" s="46" t="str">
        <f>IF($F28="A",4,IF(OR($F28="X",$F28="S",$F28="C"),4,""))</f>
        <v/>
      </c>
      <c r="H28" s="46" t="str">
        <f>IF($F28="A",4,IF(OR($F28="X",$F28="S",$F28="C"),4,""))</f>
        <v/>
      </c>
      <c r="I28" s="46" t="str">
        <f>IF(OR($F28="X",$F28="S",$F28="C"),4,"")</f>
        <v/>
      </c>
      <c r="J28" s="46" t="str">
        <f>IF(OR($F28="X",$F28="S",$F28="C"),4,"")</f>
        <v/>
      </c>
      <c r="K28" s="46" t="str">
        <f>IF(OR($F28="X",$F28="S",$F28="C"),4,"")</f>
        <v/>
      </c>
      <c r="L28" s="46" t="str">
        <f>IF(OR($F28="X",$F28="S",$F28="C"),4,"")</f>
        <v/>
      </c>
      <c r="M28" s="29"/>
      <c r="N28" s="195" t="str">
        <f>IF(AND(Q28&gt;0,H7&lt;&gt;"ja",H8&lt;&gt;"ja"),"Es muss entweder eine zweite fortgeführte Fremdsprache oder eine zweite Naturwissenschaft oder Informatik für mindestens ein Jahr belegt werden","_")</f>
        <v>Es muss entweder eine zweite fortgeführte Fremdsprache oder eine zweite Naturwissenschaft oder Informatik für mindestens ein Jahr belegt werden</v>
      </c>
      <c r="O28" s="10"/>
      <c r="P28" s="11">
        <f>IF(OR(F29="",F29=" "),0,1)+IF(OR(F28="",F28=" "),0,1)</f>
        <v>0</v>
      </c>
      <c r="Q28" s="11">
        <f>IF(AND(P28=0,E28=0,E29=0,E30=0),1,0)</f>
        <v>1</v>
      </c>
      <c r="R28" s="31" t="s">
        <v>56</v>
      </c>
      <c r="S28" s="11"/>
      <c r="T28" s="11"/>
      <c r="U28" s="11">
        <f>IF(E28="C",1+MAX(U$16:U27),0)</f>
        <v>0</v>
      </c>
      <c r="V28" s="11" t="str">
        <f>IF(U28=0,"",IF(U28=1,B28,CONCATENATE(", ",B28)))</f>
        <v/>
      </c>
      <c r="W28" s="11"/>
      <c r="X28" s="11">
        <f>IF(E28="S",1+MAX(X$16:X27),0)</f>
        <v>0</v>
      </c>
      <c r="Y28" s="11" t="str">
        <f>IF(X28=0,"",IF(X28=1,B28,CONCATENATE(", ",B28)))</f>
        <v/>
      </c>
      <c r="Z28" s="11"/>
      <c r="AA28" s="13"/>
      <c r="AB28" s="10"/>
      <c r="AC28" s="10"/>
      <c r="AD28" s="10"/>
      <c r="AE28" s="10"/>
      <c r="AF28" s="167"/>
      <c r="AG28" s="167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60" ht="15.75" x14ac:dyDescent="0.25">
      <c r="A29" s="61" t="s">
        <v>180</v>
      </c>
      <c r="B29" s="175"/>
      <c r="C29" s="46">
        <v>3</v>
      </c>
      <c r="D29" s="54" t="s">
        <v>75</v>
      </c>
      <c r="E29" s="72"/>
      <c r="F29" s="46" t="str">
        <f>IF(OR(E29="A",E29="B",E29="X",E29="S",E29="C"),E29,"")</f>
        <v/>
      </c>
      <c r="G29" s="46" t="str">
        <f>IF(F29="A",3,IF(OR(F29="X",F29="S",F29="C"),3,""))</f>
        <v/>
      </c>
      <c r="H29" s="46" t="str">
        <f>IF(F29="A",3,IF(OR(F29="X",F29="S",F29="C"),3,""))</f>
        <v/>
      </c>
      <c r="I29" s="46" t="str">
        <f>IF(OR($F29="X",$F29="S",$F29="C"),3,"")</f>
        <v/>
      </c>
      <c r="J29" s="46" t="str">
        <f>IF(OR($F29="X",$F29="S",$F29="C"),3,"")</f>
        <v/>
      </c>
      <c r="K29" s="46" t="str">
        <f>IF(OR($F29="X",$F29="S",$F29="C"),3,"")</f>
        <v/>
      </c>
      <c r="L29" s="46" t="str">
        <f>IF(OR($F29="X",$F29="S",$F29="C"),3,"")</f>
        <v/>
      </c>
      <c r="M29" s="33"/>
      <c r="N29" s="213"/>
      <c r="O29" s="10"/>
      <c r="P29" s="11"/>
      <c r="Q29" s="11"/>
      <c r="R29" s="31"/>
      <c r="S29" s="11"/>
      <c r="T29" s="11"/>
      <c r="U29" s="11">
        <f>IF(E29="C",1+MAX(U$16:U28),0)</f>
        <v>0</v>
      </c>
      <c r="V29" s="11" t="str">
        <f>IF(U29=0,"",IF(U29=1,B29,CONCATENATE(", ",B29)))</f>
        <v/>
      </c>
      <c r="W29" s="11"/>
      <c r="X29" s="11">
        <f>IF(E29="S",1+MAX(X$16:X28),0)</f>
        <v>0</v>
      </c>
      <c r="Y29" s="11" t="str">
        <f>IF(X29=0,"",IF(X29=1,B29,CONCATENATE(", ",B29)))</f>
        <v/>
      </c>
      <c r="Z29" s="11"/>
      <c r="AA29" s="13"/>
      <c r="AB29" s="10"/>
      <c r="AC29" s="10"/>
      <c r="AD29" s="10"/>
      <c r="AE29" s="10"/>
      <c r="AF29" s="10"/>
      <c r="AG29" s="1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60" ht="18" customHeight="1" x14ac:dyDescent="0.25">
      <c r="A30" s="61" t="s">
        <v>190</v>
      </c>
      <c r="B30" s="182" t="str">
        <f>IF(H7="ja","Italienisch",IF(H8="ja","Französisch","-"))</f>
        <v>-</v>
      </c>
      <c r="C30" s="46">
        <v>3</v>
      </c>
      <c r="D30" s="54" t="s">
        <v>74</v>
      </c>
      <c r="E30" s="148"/>
      <c r="F30" s="46" t="str">
        <f>IF(OR(H7="ja",H7="Ja",H8="ja",H8="Ja")," X","")</f>
        <v/>
      </c>
      <c r="G30" s="46" t="str">
        <f>IF($F$30="","",3)</f>
        <v/>
      </c>
      <c r="H30" s="46" t="str">
        <f>IF($F$30="","",3)</f>
        <v/>
      </c>
      <c r="I30" s="46" t="str">
        <f>IF($F$30="","",3)</f>
        <v/>
      </c>
      <c r="J30" s="46" t="str">
        <f>IF($F$30="","",3)</f>
        <v/>
      </c>
      <c r="K30" s="28"/>
      <c r="L30" s="28"/>
      <c r="M30" s="11" t="str">
        <f>IF((B30="Französisch"),"Fsp",IF((B30="Italienisch"),"Isp",IF((B30="-"),"")))</f>
        <v/>
      </c>
      <c r="N30" s="38" t="str">
        <f>IF(AND(Q30=1,$H$7="ja"),"Italiensch spätbeginnend muss 4 Semester belegt werden","_")</f>
        <v>_</v>
      </c>
      <c r="O30" s="10"/>
      <c r="P30" s="11"/>
      <c r="Q30" s="11"/>
      <c r="R30" s="31"/>
      <c r="S30" s="11"/>
      <c r="T30" s="11"/>
      <c r="U30" s="11">
        <f>IF(E30="C",1+MAX(U$16:U29),0)</f>
        <v>0</v>
      </c>
      <c r="V30" s="11" t="str">
        <f>IF(U30=0,"",IF(U30=1,B30,CONCATENATE(", ",A30)))</f>
        <v/>
      </c>
      <c r="W30" s="11"/>
      <c r="X30" s="11">
        <f>IF(E30="S",1+MAX(X$16:X29),0)</f>
        <v>0</v>
      </c>
      <c r="Y30" s="11"/>
      <c r="Z30" s="11"/>
      <c r="AA30" s="13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60" ht="15.75" x14ac:dyDescent="0.25">
      <c r="A31" s="59" t="s">
        <v>30</v>
      </c>
      <c r="B31" s="60"/>
      <c r="C31" s="46">
        <v>2</v>
      </c>
      <c r="D31" s="46" t="s">
        <v>20</v>
      </c>
      <c r="E31" s="72"/>
      <c r="F31" s="46" t="str">
        <f>IF(OR(E31="S",E31="C",E31="X",E31="A",E31="B"),E31,"")</f>
        <v/>
      </c>
      <c r="G31" s="46" t="str">
        <f>IF(OR(F31="",F31="B"),"",2)</f>
        <v/>
      </c>
      <c r="H31" s="46" t="str">
        <f>IF(OR(F31="",F31="B"),"",2)</f>
        <v/>
      </c>
      <c r="I31" s="46" t="str">
        <f>IF(OR(F31="",F31="A"),"",2)</f>
        <v/>
      </c>
      <c r="J31" s="46" t="str">
        <f>IF(OR(F31="",F31="A"),"",2)</f>
        <v/>
      </c>
      <c r="K31" s="30">
        <f>IF(OR(E31="S",E31="C"),3,0)+IF(E31="X",2,0)+IF(OR(E31="A",E31="B"),1,0)</f>
        <v>0</v>
      </c>
      <c r="L31" s="30">
        <f>IF(K31=3,4,0)+IF(K31=2,3,0)+IF(K31=1,0,0)</f>
        <v>0</v>
      </c>
      <c r="M31" s="29"/>
      <c r="N31" s="195" t="str">
        <f>IF(Q31&gt;0,"Eines der Fächer Geographie oder Wirtschaft/Recht muss für alle 4 Semester belegt werden (Belegung X, C oder S)",IF(Q32=1,"Nur eines der Fächer Geo / WR kann gewählt werden!","_"))</f>
        <v>Eines der Fächer Geographie oder Wirtschaft/Recht muss für alle 4 Semester belegt werden (Belegung X, C oder S)</v>
      </c>
      <c r="O31" s="10"/>
      <c r="P31" s="11">
        <f>COUNTIF(F31:F32,"X")+COUNTIF(F31:F32,"S")+COUNTIF(F31:F32,"C")</f>
        <v>0</v>
      </c>
      <c r="Q31" s="11">
        <f>IF(P31=0,1,0)</f>
        <v>1</v>
      </c>
      <c r="R31" s="31" t="s">
        <v>55</v>
      </c>
      <c r="S31" s="11"/>
      <c r="T31" s="11"/>
      <c r="U31" s="11">
        <f>IF(E31="C",1+MAX(U$16:U30),0)</f>
        <v>0</v>
      </c>
      <c r="V31" s="11" t="str">
        <f>IF(U31=0,"",IF(U31=1,A31,CONCATENATE(", ",A31)))</f>
        <v/>
      </c>
      <c r="W31" s="11"/>
      <c r="X31" s="11">
        <f>IF(E31="S",1+MAX(X$16:X30),0)</f>
        <v>0</v>
      </c>
      <c r="Y31" s="11" t="str">
        <f>IF(X31=0,"",IF(X31=1,A31,CONCATENATE(", ",A31)))</f>
        <v/>
      </c>
      <c r="Z31" s="11"/>
      <c r="AA31" s="13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60" ht="15.75" x14ac:dyDescent="0.25">
      <c r="A32" s="59" t="s">
        <v>31</v>
      </c>
      <c r="B32" s="60"/>
      <c r="C32" s="46">
        <v>2</v>
      </c>
      <c r="D32" s="46" t="s">
        <v>20</v>
      </c>
      <c r="E32" s="72"/>
      <c r="F32" s="46" t="str">
        <f>IF(OR(E32="S",E32="C",E32="X",E32="A",E32="B"),E32,"")</f>
        <v/>
      </c>
      <c r="G32" s="46" t="str">
        <f>IF(OR(F32="",F32="B"),"",2)</f>
        <v/>
      </c>
      <c r="H32" s="46" t="str">
        <f>IF(OR(F32="",F32="B"),"",2)</f>
        <v/>
      </c>
      <c r="I32" s="46" t="str">
        <f>IF(OR(F32="",F32="A"),"",2)</f>
        <v/>
      </c>
      <c r="J32" s="46" t="str">
        <f>IF(OR(F32="",F32="A"),"",2)</f>
        <v/>
      </c>
      <c r="K32" s="34">
        <f>IF(OR(E32="S",E32="C"),3,0)+IF(E32="X",2,0)+IF(OR(E32="A",E32="B"),1,0)</f>
        <v>0</v>
      </c>
      <c r="L32" s="34">
        <f>IF(K32=3,4,0)+IF(K32=2,3,0)+IF(K32=1,0,0)</f>
        <v>0</v>
      </c>
      <c r="M32" s="33"/>
      <c r="N32" s="214"/>
      <c r="O32" s="10"/>
      <c r="P32" s="11"/>
      <c r="Q32" s="11">
        <f>IF(AND(E31&lt;&gt;"",E32&lt;&gt;""),1,0)</f>
        <v>0</v>
      </c>
      <c r="R32" s="31" t="s">
        <v>187</v>
      </c>
      <c r="S32" s="11"/>
      <c r="T32" s="11"/>
      <c r="U32" s="11">
        <f>IF(E32="C",1+MAX(U$16:U31),0)</f>
        <v>0</v>
      </c>
      <c r="V32" s="11" t="str">
        <f>IF(U32=0,"",IF(U32=1,A32,CONCATENATE(", ",A32)))</f>
        <v/>
      </c>
      <c r="W32" s="11"/>
      <c r="X32" s="11">
        <f>IF(E32="S",1+MAX(X$16:X31),0)</f>
        <v>0</v>
      </c>
      <c r="Y32" s="11" t="str">
        <f>IF(X32=0,"",IF(X32=1,A32,CONCATENATE(", ",A32)))</f>
        <v/>
      </c>
      <c r="Z32" s="11"/>
      <c r="AA32" s="13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ht="15.75" x14ac:dyDescent="0.25">
      <c r="A33" s="59" t="s">
        <v>32</v>
      </c>
      <c r="B33" s="60"/>
      <c r="C33" s="46">
        <v>2</v>
      </c>
      <c r="D33" s="46" t="s">
        <v>20</v>
      </c>
      <c r="E33" s="72"/>
      <c r="F33" s="46" t="str">
        <f>IF(OR(E33="S",E33="C",E33="X",E33="A",E33="B"),E33,"")</f>
        <v/>
      </c>
      <c r="G33" s="46" t="str">
        <f>IF(OR(F33="",F33="B"),"",2)</f>
        <v/>
      </c>
      <c r="H33" s="46" t="str">
        <f>IF(OR(F33="",F33="B"),"",2)</f>
        <v/>
      </c>
      <c r="I33" s="46" t="str">
        <f>IF(OR(F33="",F33="A"),"",2)</f>
        <v/>
      </c>
      <c r="J33" s="46" t="str">
        <f>IF(OR(F33="",F33="A"),"",2)</f>
        <v/>
      </c>
      <c r="K33" s="30">
        <f>IF(OR(E33="S",E33="C"),3,0)+IF(E33="X",2,0)+IF(OR(E33="A",E33="B"),1,0)</f>
        <v>0</v>
      </c>
      <c r="L33" s="30">
        <f>IF(K33=3,4,0)+IF(K33=2,3,0)+IF(K33=1,0,0)</f>
        <v>0</v>
      </c>
      <c r="M33" s="29"/>
      <c r="N33" s="195" t="str">
        <f>IF(Q33&gt;0,"Eines der Fächer Kunst oder Musik muss für alle 4 Semester belegt werden (Belegung X, C oder S)",IF(Q34=1,"Nur eines der Fächer Ku / Mu kann gewählt werden!","_"))</f>
        <v>Eines der Fächer Kunst oder Musik muss für alle 4 Semester belegt werden (Belegung X, C oder S)</v>
      </c>
      <c r="O33" s="10"/>
      <c r="P33" s="11">
        <f>COUNTIF(F33:F34,"X")+COUNTIF(F33:F34,"S")+COUNTIF(F33:F34,"C")</f>
        <v>0</v>
      </c>
      <c r="Q33" s="11">
        <f>IF(P33=0,1,0)</f>
        <v>1</v>
      </c>
      <c r="R33" s="31" t="s">
        <v>54</v>
      </c>
      <c r="S33" s="11"/>
      <c r="T33" s="11"/>
      <c r="U33" s="11">
        <f>IF(E33="C",1+MAX(U$16:U32),0)</f>
        <v>0</v>
      </c>
      <c r="V33" s="11" t="str">
        <f>IF(U33=0,"",IF(U33=1,A33,CONCATENATE(", ",A33)))</f>
        <v/>
      </c>
      <c r="W33" s="11"/>
      <c r="X33" s="11">
        <f>IF(E33="S",1+MAX(X$16:X32),0)</f>
        <v>0</v>
      </c>
      <c r="Y33" s="11" t="str">
        <f>IF(X33=0,"",IF(X33=1,A33,CONCATENATE(", ",A33)))</f>
        <v/>
      </c>
      <c r="Z33" s="11"/>
      <c r="AA33" s="13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ht="15.75" x14ac:dyDescent="0.25">
      <c r="A34" s="59" t="s">
        <v>33</v>
      </c>
      <c r="B34" s="60"/>
      <c r="C34" s="46">
        <v>2</v>
      </c>
      <c r="D34" s="46" t="s">
        <v>20</v>
      </c>
      <c r="E34" s="72"/>
      <c r="F34" s="46" t="str">
        <f>IF(OR(E34="S",E34="C",E34="X",E34="A",E34="B"),E34,"")</f>
        <v/>
      </c>
      <c r="G34" s="46" t="str">
        <f>IF(OR(F34="",F34="B"),"",2)</f>
        <v/>
      </c>
      <c r="H34" s="46" t="str">
        <f>IF(OR(F34="",F34="B"),"",2)</f>
        <v/>
      </c>
      <c r="I34" s="46" t="str">
        <f>IF(OR(F34="",F34="A"),"",2)</f>
        <v/>
      </c>
      <c r="J34" s="46" t="str">
        <f>IF(OR(F34="",F34="A"),"",2)</f>
        <v/>
      </c>
      <c r="K34" s="28">
        <f>IF(OR(E34="S",E34="C"),3,0)+IF(E34="X",2,0)+IF(OR(E34="A",E34="B"),1,0)</f>
        <v>0</v>
      </c>
      <c r="L34" s="28">
        <f>IF(K34=3,4,0)+IF(K34=2,3,0)+IF(K34=1,0,0)</f>
        <v>0</v>
      </c>
      <c r="M34" s="11"/>
      <c r="N34" s="196"/>
      <c r="O34" s="10"/>
      <c r="P34" s="11"/>
      <c r="Q34" s="11">
        <f>IF(AND(E33&lt;&gt;"",E34&lt;&gt;""),1,0)</f>
        <v>0</v>
      </c>
      <c r="R34" s="31" t="s">
        <v>188</v>
      </c>
      <c r="S34" s="11"/>
      <c r="T34" s="11"/>
      <c r="U34" s="11">
        <f>IF(E34="C",1+MAX(U$16:U33),0)</f>
        <v>0</v>
      </c>
      <c r="V34" s="11" t="str">
        <f>IF(U34=0,"",IF(U34=1,A34,CONCATENATE(", ",A34)))</f>
        <v/>
      </c>
      <c r="W34" s="11"/>
      <c r="X34" s="11">
        <f>IF(E34="S",1+MAX(X$16:X33),0)</f>
        <v>0</v>
      </c>
      <c r="Y34" s="11" t="str">
        <f>IF(X34=0,"",IF(X34=1,A34,CONCATENATE(", ",A34)))</f>
        <v/>
      </c>
      <c r="Z34" s="11"/>
      <c r="AA34" s="13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ht="9" customHeight="1" x14ac:dyDescent="0.25">
      <c r="A35" s="62"/>
      <c r="B35" s="63"/>
      <c r="C35" s="52"/>
      <c r="D35" s="68"/>
      <c r="E35" s="64"/>
      <c r="F35" s="52"/>
      <c r="G35" s="52"/>
      <c r="H35" s="52"/>
      <c r="I35" s="52"/>
      <c r="J35" s="27"/>
      <c r="K35" s="30"/>
      <c r="L35" s="30"/>
      <c r="M35" s="29"/>
      <c r="N35" s="9"/>
      <c r="O35" s="10"/>
      <c r="P35" s="11"/>
      <c r="Q35" s="11"/>
      <c r="R35" s="31"/>
      <c r="S35" s="11"/>
      <c r="T35" s="11"/>
      <c r="U35" s="11"/>
      <c r="V35" s="11"/>
      <c r="W35" s="11"/>
      <c r="X35" s="11"/>
      <c r="Y35" s="11"/>
      <c r="Z35" s="11"/>
      <c r="AA35" s="13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ht="15.75" x14ac:dyDescent="0.25">
      <c r="A36" s="65" t="s">
        <v>34</v>
      </c>
      <c r="B36" s="66"/>
      <c r="C36" s="53"/>
      <c r="D36" s="69"/>
      <c r="E36" s="67"/>
      <c r="F36" s="53"/>
      <c r="G36" s="53"/>
      <c r="H36" s="53"/>
      <c r="I36" s="53"/>
      <c r="J36" s="43"/>
      <c r="K36" s="28"/>
      <c r="L36" s="28"/>
      <c r="M36" s="14"/>
      <c r="N36" s="14"/>
      <c r="O36" s="10"/>
      <c r="P36" s="39" t="s">
        <v>49</v>
      </c>
      <c r="Q36" s="11">
        <f>SUM(Q18+Q21+Q22+Q31)</f>
        <v>4</v>
      </c>
      <c r="R36" s="31" t="s">
        <v>50</v>
      </c>
      <c r="S36" s="11"/>
      <c r="T36" s="11"/>
      <c r="U36" s="11"/>
      <c r="V36" s="11"/>
      <c r="W36" s="11"/>
      <c r="X36" s="11"/>
      <c r="Y36" s="11"/>
      <c r="Z36" s="11"/>
      <c r="AA36" s="13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ht="15.75" x14ac:dyDescent="0.25">
      <c r="A37" s="61" t="s">
        <v>35</v>
      </c>
      <c r="B37" s="172"/>
      <c r="C37" s="46"/>
      <c r="D37" s="46"/>
      <c r="E37" s="55"/>
      <c r="F37" s="46"/>
      <c r="G37" s="46">
        <v>2</v>
      </c>
      <c r="H37" s="46">
        <v>2</v>
      </c>
      <c r="I37" s="46">
        <v>2</v>
      </c>
      <c r="J37" s="46">
        <v>0</v>
      </c>
      <c r="K37" s="30"/>
      <c r="L37" s="30"/>
      <c r="M37" s="32"/>
      <c r="N37" s="11" t="str">
        <f>IF(AND(P37=0,Q36=0),"Ein Abiturfach muss aus den Fächern G, G +Sk, WR, Geo, Ev, K, Eth gewählt werden","_")</f>
        <v>_</v>
      </c>
      <c r="O37" s="10"/>
      <c r="P37" s="11">
        <f>COUNTIF(E18:E20,"S")+COUNTIF(E18:E20,"C")+COUNTIF(E21:E22,"S")+COUNTIF(E21:E22,"C")+COUNTIF(E31:E32,"S")+COUNTIF(E31:E32,"C")</f>
        <v>0</v>
      </c>
      <c r="Q37" s="11">
        <f>IF(OR(P37&lt;1,P37&gt;1),1,0)</f>
        <v>1</v>
      </c>
      <c r="R37" s="31" t="s">
        <v>51</v>
      </c>
      <c r="S37" s="11"/>
      <c r="T37" s="11"/>
      <c r="U37" s="11"/>
      <c r="V37" s="11"/>
      <c r="W37" s="11"/>
      <c r="X37" s="11"/>
      <c r="Y37" s="11"/>
      <c r="Z37" s="11"/>
      <c r="AA37" s="13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ht="15.75" x14ac:dyDescent="0.25">
      <c r="A38" s="168" t="s">
        <v>165</v>
      </c>
      <c r="B38" s="172"/>
      <c r="C38" s="46"/>
      <c r="D38" s="46"/>
      <c r="E38" s="55"/>
      <c r="F38" s="46"/>
      <c r="G38" s="46"/>
      <c r="H38" s="46"/>
      <c r="I38" s="46"/>
      <c r="J38" s="46"/>
      <c r="K38" s="28"/>
      <c r="L38" s="28"/>
      <c r="M38" s="32"/>
      <c r="N38" s="169" t="str">
        <f>IF(B38="","Bitte unbedingt eine Alternative angeben","")</f>
        <v>Bitte unbedingt eine Alternative angeben</v>
      </c>
      <c r="O38" s="10"/>
      <c r="P38" s="11"/>
      <c r="Q38" s="11"/>
      <c r="R38" s="31"/>
      <c r="S38" s="11"/>
      <c r="T38" s="11"/>
      <c r="U38" s="11"/>
      <c r="V38" s="11"/>
      <c r="W38" s="11"/>
      <c r="X38" s="11"/>
      <c r="Y38" s="11"/>
      <c r="Z38" s="11"/>
      <c r="AA38" s="13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15.75" x14ac:dyDescent="0.25">
      <c r="A39" s="61" t="s">
        <v>36</v>
      </c>
      <c r="B39" s="172"/>
      <c r="C39" s="46"/>
      <c r="D39" s="46"/>
      <c r="E39" s="55"/>
      <c r="F39" s="46"/>
      <c r="G39" s="46">
        <v>2</v>
      </c>
      <c r="H39" s="46">
        <v>2</v>
      </c>
      <c r="I39" s="46">
        <v>2</v>
      </c>
      <c r="J39" s="46">
        <v>0</v>
      </c>
      <c r="K39" s="34"/>
      <c r="L39" s="34"/>
      <c r="M39" s="32"/>
      <c r="N39" s="14"/>
      <c r="O39" s="10"/>
      <c r="P39" s="39" t="s">
        <v>49</v>
      </c>
      <c r="Q39" s="11">
        <f>Q36+Q37</f>
        <v>5</v>
      </c>
      <c r="R39" s="31" t="s">
        <v>52</v>
      </c>
      <c r="S39" s="11"/>
      <c r="T39" s="11"/>
      <c r="U39" s="11"/>
      <c r="V39" s="11"/>
      <c r="W39" s="11"/>
      <c r="X39" s="11"/>
      <c r="Y39" s="11"/>
      <c r="Z39" s="11"/>
      <c r="AA39" s="13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ht="15.75" x14ac:dyDescent="0.25">
      <c r="A40" s="168" t="s">
        <v>165</v>
      </c>
      <c r="B40" s="172"/>
      <c r="C40" s="46"/>
      <c r="D40" s="46"/>
      <c r="E40" s="55"/>
      <c r="F40" s="46"/>
      <c r="G40" s="46"/>
      <c r="H40" s="46"/>
      <c r="I40" s="46"/>
      <c r="J40" s="46"/>
      <c r="K40" s="28"/>
      <c r="L40" s="28"/>
      <c r="M40" s="32"/>
      <c r="N40" s="169" t="str">
        <f>IF(B40="","Bitte unbedingt eine Alternative angeben","")</f>
        <v>Bitte unbedingt eine Alternative angeben</v>
      </c>
      <c r="O40" s="10"/>
      <c r="P40" s="39"/>
      <c r="Q40" s="11"/>
      <c r="R40" s="31"/>
      <c r="S40" s="11"/>
      <c r="T40" s="11"/>
      <c r="U40" s="11"/>
      <c r="V40" s="11"/>
      <c r="W40" s="11"/>
      <c r="X40" s="11"/>
      <c r="Y40" s="11"/>
      <c r="Z40" s="11"/>
      <c r="AA40" s="13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ht="15.75" x14ac:dyDescent="0.25">
      <c r="A41" s="61" t="s">
        <v>37</v>
      </c>
      <c r="B41" s="60"/>
      <c r="C41" s="46">
        <v>1</v>
      </c>
      <c r="D41" s="46" t="str">
        <f>IF(OR(E34="S"),"Abi","")</f>
        <v/>
      </c>
      <c r="E41" s="55" t="str">
        <f>IF(E34="S","X","")</f>
        <v/>
      </c>
      <c r="F41" s="46" t="str">
        <f>E41</f>
        <v/>
      </c>
      <c r="G41" s="46" t="str">
        <f>IF(F41="","",1)</f>
        <v/>
      </c>
      <c r="H41" s="46" t="str">
        <f>IF(F41="","",1)</f>
        <v/>
      </c>
      <c r="I41" s="46" t="str">
        <f>IF(F41="","",1)</f>
        <v/>
      </c>
      <c r="J41" s="46" t="str">
        <f>IF(F41="","",1)</f>
        <v/>
      </c>
      <c r="K41" s="30"/>
      <c r="L41" s="30"/>
      <c r="M41" s="32"/>
      <c r="N41" s="14" t="str">
        <f>IF(AND(Q36=0,Q41&gt;0),"Gesamtstundenzahl ist zu gering (sie muss mindestens 132 betragen).","_")</f>
        <v>_</v>
      </c>
      <c r="O41" s="10"/>
      <c r="P41" s="11"/>
      <c r="Q41" s="11">
        <f>IF(G52&lt;132,1,0)</f>
        <v>1</v>
      </c>
      <c r="R41" s="31" t="s">
        <v>67</v>
      </c>
      <c r="S41" s="11"/>
      <c r="T41" s="11"/>
      <c r="U41" s="11"/>
      <c r="V41" s="11"/>
      <c r="W41" s="11"/>
      <c r="X41" s="11"/>
      <c r="Y41" s="11"/>
      <c r="Z41" s="11"/>
      <c r="AA41" s="13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ht="15.75" x14ac:dyDescent="0.25">
      <c r="A42" s="61" t="s">
        <v>38</v>
      </c>
      <c r="B42" s="60"/>
      <c r="C42" s="46">
        <v>2</v>
      </c>
      <c r="D42" s="46" t="str">
        <f>IF(OR(E33="S"),"Abi","")</f>
        <v/>
      </c>
      <c r="E42" s="55" t="str">
        <f>IF(OR(E33="S"),"X","")</f>
        <v/>
      </c>
      <c r="F42" s="46" t="str">
        <f>E42</f>
        <v/>
      </c>
      <c r="G42" s="46" t="str">
        <f>IF(F42="","",2)</f>
        <v/>
      </c>
      <c r="H42" s="46" t="str">
        <f>IF(F42="","",2)</f>
        <v/>
      </c>
      <c r="I42" s="46" t="str">
        <f>IF(F42="","",2)</f>
        <v/>
      </c>
      <c r="J42" s="46" t="str">
        <f>IF(F42="","",2)</f>
        <v/>
      </c>
      <c r="K42" s="28"/>
      <c r="L42" s="28"/>
      <c r="M42" s="32"/>
      <c r="N42" s="42">
        <f>IF(P37&gt;1,"Nur eines der Fächer Ev, K, Eth, G, G +Sk, Geo, WR darf als Abiturfach gewählt werden",0)</f>
        <v>0</v>
      </c>
      <c r="O42" s="10"/>
      <c r="P42" s="11"/>
      <c r="Q42" s="11"/>
      <c r="R42" s="31"/>
      <c r="S42" s="11"/>
      <c r="T42" s="11"/>
      <c r="U42" s="11"/>
      <c r="V42" s="11"/>
      <c r="W42" s="11"/>
      <c r="X42" s="11"/>
      <c r="Y42" s="19" t="s">
        <v>63</v>
      </c>
      <c r="Z42" s="11"/>
      <c r="AA42" s="19" t="s">
        <v>70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ht="15.75" x14ac:dyDescent="0.25">
      <c r="A43" s="61" t="s">
        <v>39</v>
      </c>
      <c r="B43" s="60"/>
      <c r="C43" s="46">
        <v>2</v>
      </c>
      <c r="D43" s="46" t="str">
        <f>IF(OR(E23="C",E23="S"),"Abi","")</f>
        <v/>
      </c>
      <c r="E43" s="55" t="str">
        <f>IF(OR(E23="S",E23="C"),"X","")</f>
        <v/>
      </c>
      <c r="F43" s="46" t="str">
        <f>E43</f>
        <v/>
      </c>
      <c r="G43" s="46" t="str">
        <f>IF(F43="","",2)</f>
        <v/>
      </c>
      <c r="H43" s="46" t="str">
        <f>IF(F43="","",2)</f>
        <v/>
      </c>
      <c r="I43" s="46" t="str">
        <f>IF(F43="","",2)</f>
        <v/>
      </c>
      <c r="J43" s="46" t="str">
        <f>IF(F43="","",2)</f>
        <v/>
      </c>
      <c r="K43" s="34" t="str">
        <f>IF(OR(C43="C",C43="S"),4,"")</f>
        <v/>
      </c>
      <c r="L43" s="34" t="str">
        <f>IF(OR(E43="C",E43="S"),4,"")</f>
        <v/>
      </c>
      <c r="M43" s="32"/>
      <c r="N43" s="14" t="str">
        <f>IF(Q43=0,"Wenn alle Kurse eingerichtet werden können, dann ist diese Wahl möglich.","_")</f>
        <v>_</v>
      </c>
      <c r="O43" s="10"/>
      <c r="P43" s="39" t="s">
        <v>49</v>
      </c>
      <c r="Q43" s="11">
        <f>Q41+Q39+Q46+Q48+Q19+Q20+Q25+Q32+Q34</f>
        <v>8</v>
      </c>
      <c r="R43" s="31" t="s">
        <v>53</v>
      </c>
      <c r="S43" s="11"/>
      <c r="T43" s="11"/>
      <c r="U43" s="11"/>
      <c r="V43" s="11"/>
      <c r="W43" s="11"/>
      <c r="X43" s="11"/>
      <c r="Y43" s="11"/>
      <c r="Z43" s="11"/>
      <c r="AA43" s="13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ht="15.75" x14ac:dyDescent="0.25">
      <c r="A44" s="61" t="s">
        <v>160</v>
      </c>
      <c r="B44" s="173"/>
      <c r="C44" s="46">
        <v>2</v>
      </c>
      <c r="D44" s="46" t="s">
        <v>166</v>
      </c>
      <c r="E44" s="72"/>
      <c r="F44" s="46" t="str">
        <f>IF(OR(E44="X",E44="A",E44="B"),E44,"")</f>
        <v/>
      </c>
      <c r="G44" s="46" t="str">
        <f>IF(OR(F44="",F44="B"),"",2)</f>
        <v/>
      </c>
      <c r="H44" s="46" t="str">
        <f>IF(OR(F44="",F44="B"),"",2)</f>
        <v/>
      </c>
      <c r="I44" s="46" t="str">
        <f>IF(OR(F44="",F44="A"),"",2)</f>
        <v/>
      </c>
      <c r="J44" s="46" t="str">
        <f>IF(OR(F44="",F44="A"),"",2)</f>
        <v/>
      </c>
      <c r="K44" s="28"/>
      <c r="L44" s="28"/>
      <c r="M44" s="14" t="str">
        <f t="shared" ref="M44:M49" si="1">IF(ISERROR(VLOOKUP(B44,R$57:V$70,5,0)),"",VLOOKUP(B44,R$57:V$70,5,0))</f>
        <v/>
      </c>
      <c r="N44" s="169" t="str">
        <f>IF(Q19=1,"X-Belegung nur bei Vokal- oder Instrumentalensemble möglich","")</f>
        <v/>
      </c>
      <c r="O44" s="10"/>
      <c r="P44" s="11"/>
      <c r="Q44" s="11"/>
      <c r="R44" s="31"/>
      <c r="S44" s="11"/>
      <c r="T44" s="11"/>
      <c r="U44" s="11"/>
      <c r="V44" s="11"/>
      <c r="W44" s="11"/>
      <c r="X44" s="11"/>
      <c r="Y44" s="11"/>
      <c r="Z44" s="11"/>
      <c r="AA44" s="40" t="s">
        <v>40</v>
      </c>
      <c r="AB44" s="41" t="s">
        <v>41</v>
      </c>
      <c r="AC44" s="41" t="s">
        <v>42</v>
      </c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">
      <c r="A45" s="168" t="s">
        <v>165</v>
      </c>
      <c r="B45" s="173"/>
      <c r="C45" s="46"/>
      <c r="D45" s="46"/>
      <c r="E45" s="46"/>
      <c r="F45" s="46"/>
      <c r="G45" s="46"/>
      <c r="H45" s="46"/>
      <c r="I45" s="46"/>
      <c r="J45" s="46"/>
      <c r="K45" s="28"/>
      <c r="L45" s="28"/>
      <c r="M45" s="14" t="str">
        <f t="shared" si="1"/>
        <v/>
      </c>
      <c r="N45" s="169" t="str">
        <f>IF(AND(B44&lt;&gt;"",B45=""),"Bitte unbedingt eine Alternative angeben","")</f>
        <v/>
      </c>
      <c r="O45" s="10"/>
      <c r="P45" s="11"/>
      <c r="Q45" s="11"/>
      <c r="R45" s="31"/>
      <c r="S45" s="11"/>
      <c r="T45" s="11"/>
      <c r="U45" s="11"/>
      <c r="V45" s="11"/>
      <c r="W45" s="11"/>
      <c r="X45" s="11"/>
      <c r="Y45" s="11"/>
      <c r="Z45" s="11"/>
      <c r="AA45" s="40"/>
      <c r="AB45" s="41"/>
      <c r="AC45" s="41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ht="15.75" x14ac:dyDescent="0.25">
      <c r="A46" s="61" t="s">
        <v>161</v>
      </c>
      <c r="B46" s="173"/>
      <c r="C46" s="46">
        <v>2</v>
      </c>
      <c r="D46" s="46" t="s">
        <v>166</v>
      </c>
      <c r="E46" s="72"/>
      <c r="F46" s="46" t="str">
        <f>IF(OR(E46="X",E46="A",E46="B"),E46,"")</f>
        <v/>
      </c>
      <c r="G46" s="46" t="str">
        <f>IF(OR(F46="",F46="B"),"",2)</f>
        <v/>
      </c>
      <c r="H46" s="46" t="str">
        <f>IF(OR(F46="",F46="B"),"",2)</f>
        <v/>
      </c>
      <c r="I46" s="46" t="str">
        <f>IF(OR(F46="",F46="A"),"",2)</f>
        <v/>
      </c>
      <c r="J46" s="46" t="str">
        <f>IF(OR(F46="",F46="A"),"",2)</f>
        <v/>
      </c>
      <c r="K46" s="28"/>
      <c r="L46" s="28"/>
      <c r="M46" s="14" t="str">
        <f t="shared" si="1"/>
        <v/>
      </c>
      <c r="N46" s="169" t="str">
        <f>IF(Q20=1,"X-Belegung nur bei Vokal- oder Instrumentalensemble möglich","")</f>
        <v/>
      </c>
      <c r="O46" s="10"/>
      <c r="P46" s="11">
        <f>COUNTIF(E16:E34,"S")</f>
        <v>2</v>
      </c>
      <c r="Q46" s="11">
        <f>IF(P46=3,0,1)</f>
        <v>1</v>
      </c>
      <c r="R46" s="31" t="s">
        <v>68</v>
      </c>
      <c r="S46" s="11"/>
      <c r="T46" s="11"/>
      <c r="U46" s="11"/>
      <c r="V46" s="11"/>
      <c r="W46" s="11"/>
      <c r="X46" s="11"/>
      <c r="Y46" s="11" t="str">
        <f>CONCATENATE(Y16, Y17,Y18,Y19,Y20,Y21,Y22,Y23,Y26,Y27,Y28,Y29,Y31,Y32,Y33,Y34)</f>
        <v>Deutsch, Mathematik</v>
      </c>
      <c r="Z46" s="11"/>
      <c r="AA46" s="13" t="s">
        <v>43</v>
      </c>
      <c r="AB46" s="10" t="s">
        <v>44</v>
      </c>
      <c r="AC46" s="10" t="str">
        <f>CONCATENATE("Schriftliches Abitur in   ",Y46)</f>
        <v>Schriftliches Abitur in   Deutsch, Mathematik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">
      <c r="A47" s="168" t="s">
        <v>165</v>
      </c>
      <c r="B47" s="173"/>
      <c r="C47" s="46"/>
      <c r="D47" s="46"/>
      <c r="E47" s="46"/>
      <c r="F47" s="46"/>
      <c r="G47" s="46"/>
      <c r="H47" s="46"/>
      <c r="I47" s="46"/>
      <c r="J47" s="46"/>
      <c r="K47" s="28"/>
      <c r="L47" s="28"/>
      <c r="M47" s="14" t="str">
        <f t="shared" si="1"/>
        <v/>
      </c>
      <c r="N47" s="171"/>
      <c r="O47" s="10"/>
      <c r="P47" s="11"/>
      <c r="Q47" s="11"/>
      <c r="R47" s="31"/>
      <c r="S47" s="11"/>
      <c r="T47" s="11"/>
      <c r="U47" s="11"/>
      <c r="V47" s="11"/>
      <c r="W47" s="11"/>
      <c r="X47" s="11"/>
      <c r="Y47" s="11"/>
      <c r="Z47" s="11"/>
      <c r="AA47" s="13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ht="15.75" x14ac:dyDescent="0.25">
      <c r="A48" s="61" t="s">
        <v>162</v>
      </c>
      <c r="B48" s="173"/>
      <c r="C48" s="46">
        <v>2</v>
      </c>
      <c r="D48" s="46" t="s">
        <v>166</v>
      </c>
      <c r="E48" s="72"/>
      <c r="F48" s="46" t="str">
        <f>IF(OR(E48="X",E48="A",E48="B"),E48,"")</f>
        <v/>
      </c>
      <c r="G48" s="46" t="str">
        <f>IF(OR(F48="",F48="B"),"",2)</f>
        <v/>
      </c>
      <c r="H48" s="46" t="str">
        <f>IF(OR(F48="",F48="B"),"",2)</f>
        <v/>
      </c>
      <c r="I48" s="46" t="str">
        <f>IF(OR(F48="",F48="A"),"",2)</f>
        <v/>
      </c>
      <c r="J48" s="46" t="str">
        <f>IF(OR(F48="",F48="A"),"",2)</f>
        <v/>
      </c>
      <c r="K48" s="28"/>
      <c r="L48" s="28"/>
      <c r="M48" s="14" t="str">
        <f t="shared" si="1"/>
        <v/>
      </c>
      <c r="N48" s="169" t="str">
        <f>IF(Q25=1,"X-Belegung nur bei Vokal- oder Instrumentalensemble möglich","")</f>
        <v/>
      </c>
      <c r="O48" s="10"/>
      <c r="P48" s="11">
        <f>COUNTIF(E16:E34,"C")</f>
        <v>0</v>
      </c>
      <c r="Q48" s="11">
        <f>IF(P48=2,0,1)</f>
        <v>1</v>
      </c>
      <c r="R48" s="31" t="s">
        <v>69</v>
      </c>
      <c r="S48" s="11"/>
      <c r="T48" s="11"/>
      <c r="U48" s="11"/>
      <c r="V48" s="11"/>
      <c r="W48" s="11"/>
      <c r="X48" s="11"/>
      <c r="Y48" s="11" t="str">
        <f>CONCATENATE(V16,V17,V18,V19,V20,V21,W22,V23,V26,V27,V28,V29,V30,V31,V32,V33,V34)</f>
        <v/>
      </c>
      <c r="Z48" s="11"/>
      <c r="AA48" s="13" t="s">
        <v>45</v>
      </c>
      <c r="AB48" s="10" t="s">
        <v>46</v>
      </c>
      <c r="AC48" s="10" t="str">
        <f>CONCATENATE("Mündliches Abitur in   ",Y48)</f>
        <v xml:space="preserve">Mündliches Abitur in   </v>
      </c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">
      <c r="A49" s="168" t="s">
        <v>165</v>
      </c>
      <c r="B49" s="173"/>
      <c r="C49" s="45"/>
      <c r="D49" s="45"/>
      <c r="E49" s="46"/>
      <c r="F49" s="45"/>
      <c r="G49" s="46"/>
      <c r="H49" s="46"/>
      <c r="I49" s="46"/>
      <c r="J49" s="46"/>
      <c r="K49" s="28"/>
      <c r="L49" s="28"/>
      <c r="M49" s="14" t="str">
        <f t="shared" si="1"/>
        <v/>
      </c>
      <c r="N49" s="171"/>
      <c r="O49" s="10"/>
      <c r="P49" s="11"/>
      <c r="Q49" s="11"/>
      <c r="R49" s="31"/>
      <c r="S49" s="11"/>
      <c r="T49" s="11"/>
      <c r="U49" s="11"/>
      <c r="V49" s="11"/>
      <c r="W49" s="11"/>
      <c r="X49" s="11"/>
      <c r="Y49" s="11"/>
      <c r="Z49" s="11"/>
      <c r="AA49" s="13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">
      <c r="A50" s="44" t="s">
        <v>47</v>
      </c>
      <c r="B50" s="44"/>
      <c r="C50" s="45"/>
      <c r="D50" s="45"/>
      <c r="E50" s="45"/>
      <c r="F50" s="45"/>
      <c r="G50" s="46">
        <f>SUM(G16:G48)</f>
        <v>24</v>
      </c>
      <c r="H50" s="46">
        <f>SUM(H16:H48)</f>
        <v>24</v>
      </c>
      <c r="I50" s="46">
        <f>SUM(I16:I48)</f>
        <v>24</v>
      </c>
      <c r="J50" s="46">
        <f>SUM(J16:J48)</f>
        <v>20</v>
      </c>
      <c r="K50" s="46"/>
      <c r="L50" s="46"/>
      <c r="M50" s="14"/>
      <c r="N50" s="171" t="str">
        <f>IF(Q45=1,"Angewandte Informatik ist nur für Schüler des SG wählbar!","")</f>
        <v/>
      </c>
      <c r="O50" s="10"/>
      <c r="P50" s="11"/>
      <c r="Q50" s="11"/>
      <c r="R50" s="12"/>
      <c r="S50" s="11"/>
      <c r="T50" s="11"/>
      <c r="U50" s="11"/>
      <c r="V50" s="11"/>
      <c r="W50" s="11"/>
      <c r="X50" s="11"/>
      <c r="Y50" s="11"/>
      <c r="Z50" s="11"/>
      <c r="AA50" s="13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">
      <c r="A51" s="197" t="s">
        <v>195</v>
      </c>
      <c r="B51" s="47"/>
      <c r="C51" s="16"/>
      <c r="D51" s="16"/>
      <c r="E51" s="16"/>
      <c r="F51" s="16"/>
      <c r="G51" s="16"/>
      <c r="H51" s="16"/>
      <c r="I51" s="16"/>
      <c r="J51" s="16"/>
      <c r="K51" s="48"/>
      <c r="L51" s="48"/>
      <c r="M51" s="14"/>
      <c r="N51" s="14"/>
      <c r="O51" s="10"/>
      <c r="P51" s="11"/>
      <c r="Q51" s="11"/>
      <c r="R51" s="12"/>
      <c r="S51" s="11"/>
      <c r="T51" s="11"/>
      <c r="U51" s="11"/>
      <c r="V51" s="11"/>
      <c r="W51" s="11"/>
      <c r="X51" s="11"/>
      <c r="Y51" s="11"/>
      <c r="Z51" s="11"/>
      <c r="AA51" s="13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ht="15.75" x14ac:dyDescent="0.25">
      <c r="A52" s="198"/>
      <c r="B52" s="49"/>
      <c r="C52" s="16"/>
      <c r="D52" s="50"/>
      <c r="E52" s="39" t="s">
        <v>76</v>
      </c>
      <c r="F52" s="16"/>
      <c r="G52" s="199">
        <f>SUM(G50:J50)</f>
        <v>92</v>
      </c>
      <c r="H52" s="199"/>
      <c r="I52" s="199"/>
      <c r="J52" s="199"/>
      <c r="K52" s="16"/>
      <c r="L52" s="16"/>
      <c r="M52" s="14"/>
      <c r="N52" s="176" t="str">
        <f>IF(G52&gt;132,"Achtung Überstunden! Vielleicht kannst du etwas weglassen?!","")</f>
        <v/>
      </c>
      <c r="O52" s="10"/>
      <c r="P52" s="11"/>
      <c r="Q52" s="11"/>
      <c r="R52" s="12"/>
      <c r="S52" s="11"/>
      <c r="T52" s="11"/>
      <c r="U52" s="11"/>
      <c r="V52" s="11"/>
      <c r="W52" s="11"/>
      <c r="X52" s="11"/>
      <c r="Y52" s="11"/>
      <c r="Z52" s="11"/>
      <c r="AA52" s="13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">
      <c r="A53" s="198"/>
      <c r="B53" s="49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4"/>
      <c r="N53" s="51" t="s">
        <v>218</v>
      </c>
      <c r="O53" s="10"/>
      <c r="P53" s="11"/>
      <c r="Q53" s="11"/>
      <c r="R53" s="12"/>
      <c r="S53" s="11"/>
      <c r="T53" s="11"/>
      <c r="U53" s="11"/>
      <c r="V53" s="11"/>
      <c r="W53" s="11"/>
      <c r="X53" s="11"/>
      <c r="Y53" s="11"/>
      <c r="Z53" s="11"/>
      <c r="AA53" s="13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">
      <c r="A54" s="198"/>
      <c r="B54" s="11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4"/>
      <c r="N54" s="14"/>
      <c r="O54" s="10"/>
      <c r="P54" s="11"/>
      <c r="Q54" s="11"/>
      <c r="R54" s="12"/>
      <c r="S54" s="11"/>
      <c r="T54" s="11"/>
      <c r="U54" s="11"/>
      <c r="V54" s="11"/>
      <c r="W54" s="11"/>
      <c r="X54" s="11"/>
      <c r="Y54" s="11"/>
      <c r="Z54" s="11"/>
      <c r="AA54" s="13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ht="8.4499999999999993" customHeight="1" x14ac:dyDescent="0.2">
      <c r="A55" s="198"/>
      <c r="B55" s="1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4"/>
      <c r="N55" s="14"/>
      <c r="O55" s="10"/>
      <c r="P55" s="11"/>
      <c r="Q55" s="11"/>
      <c r="R55" s="12"/>
      <c r="S55" s="11"/>
      <c r="T55" s="11"/>
      <c r="U55" s="11"/>
      <c r="V55" s="11"/>
      <c r="W55" s="11"/>
      <c r="X55" s="11"/>
      <c r="Y55" s="11"/>
      <c r="Z55" s="11"/>
      <c r="AA55" s="13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">
      <c r="A56" s="11"/>
      <c r="B56" s="11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4"/>
      <c r="N56" s="14"/>
      <c r="O56" s="10"/>
      <c r="P56" s="11"/>
      <c r="Q56" s="11"/>
      <c r="W56" s="11"/>
      <c r="X56" s="11"/>
      <c r="Y56" s="11"/>
      <c r="Z56" s="11"/>
      <c r="AA56" s="13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">
      <c r="A57" s="11"/>
      <c r="B57" s="11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4"/>
      <c r="N57" s="14"/>
      <c r="O57" s="10"/>
      <c r="P57" s="11"/>
      <c r="Q57" s="11"/>
      <c r="R57" s="51" t="s">
        <v>219</v>
      </c>
      <c r="S57" s="11"/>
      <c r="T57" s="11"/>
      <c r="U57" s="11"/>
      <c r="V57" s="11" t="s">
        <v>193</v>
      </c>
      <c r="W57" s="11"/>
      <c r="X57" s="11"/>
      <c r="Y57" s="11"/>
      <c r="Z57" s="11"/>
      <c r="AA57" s="10" t="s">
        <v>114</v>
      </c>
      <c r="AB57" s="167" t="s">
        <v>229</v>
      </c>
      <c r="AC57" s="10" t="str">
        <f t="shared" ref="AC57:AC64" si="2">AA57&amp;" ("&amp;AB57&amp;")"</f>
        <v>Chemie (ZiM)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">
      <c r="A58" s="11"/>
      <c r="B58" s="1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4"/>
      <c r="O58" s="10"/>
      <c r="P58" s="11"/>
      <c r="Q58" s="11"/>
      <c r="R58" s="5" t="s">
        <v>204</v>
      </c>
      <c r="V58" s="1" t="s">
        <v>205</v>
      </c>
      <c r="W58" s="11"/>
      <c r="X58" s="11"/>
      <c r="Y58" s="11"/>
      <c r="Z58" s="11"/>
      <c r="AA58" s="10" t="s">
        <v>93</v>
      </c>
      <c r="AB58" s="167" t="s">
        <v>230</v>
      </c>
      <c r="AC58" s="10" t="str">
        <f t="shared" si="2"/>
        <v>Englisch (BrC)</v>
      </c>
      <c r="AD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">
      <c r="A59" s="11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4"/>
      <c r="O59" s="10"/>
      <c r="P59" s="11"/>
      <c r="Q59" s="11"/>
      <c r="R59" s="5" t="s">
        <v>164</v>
      </c>
      <c r="S59" s="11"/>
      <c r="T59" s="11"/>
      <c r="U59" s="11"/>
      <c r="V59" s="11" t="s">
        <v>169</v>
      </c>
      <c r="W59" s="11"/>
      <c r="X59" s="11"/>
      <c r="Y59" s="11"/>
      <c r="Z59" s="11"/>
      <c r="AA59" s="167" t="s">
        <v>23</v>
      </c>
      <c r="AB59" s="167" t="s">
        <v>231</v>
      </c>
      <c r="AC59" s="10" t="str">
        <f t="shared" si="2"/>
        <v>Ethik (StC)</v>
      </c>
      <c r="AD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">
      <c r="A60" s="11"/>
      <c r="B60" s="1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4"/>
      <c r="O60" s="10"/>
      <c r="P60" s="11"/>
      <c r="Q60" s="11"/>
      <c r="R60" s="5" t="s">
        <v>206</v>
      </c>
      <c r="V60" s="1" t="s">
        <v>207</v>
      </c>
      <c r="W60" s="11"/>
      <c r="X60" s="11"/>
      <c r="Y60" s="11"/>
      <c r="Z60" s="11"/>
      <c r="AA60" s="185" t="s">
        <v>71</v>
      </c>
      <c r="AB60" s="167" t="s">
        <v>232</v>
      </c>
      <c r="AC60" s="10" t="str">
        <f t="shared" si="2"/>
        <v>Geschichte (Grü)</v>
      </c>
      <c r="AD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">
      <c r="A61" s="11"/>
      <c r="B61" s="1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4"/>
      <c r="O61" s="10"/>
      <c r="P61" s="11"/>
      <c r="Q61" s="11"/>
      <c r="R61" s="5" t="s">
        <v>212</v>
      </c>
      <c r="V61" s="1" t="s">
        <v>213</v>
      </c>
      <c r="W61" s="11"/>
      <c r="X61" s="11"/>
      <c r="Y61" s="11"/>
      <c r="Z61" s="11"/>
      <c r="AA61" s="10" t="s">
        <v>19</v>
      </c>
      <c r="AB61" s="167" t="s">
        <v>233</v>
      </c>
      <c r="AC61" s="10" t="str">
        <f t="shared" si="2"/>
        <v>Mathematik (So)</v>
      </c>
      <c r="AD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">
      <c r="A62" s="11"/>
      <c r="B62" s="11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4"/>
      <c r="O62" s="10"/>
      <c r="P62" s="11"/>
      <c r="Q62" s="11"/>
      <c r="R62" s="5" t="s">
        <v>201</v>
      </c>
      <c r="V62" s="1" t="s">
        <v>202</v>
      </c>
      <c r="W62" s="11"/>
      <c r="X62" s="11"/>
      <c r="Y62" s="11"/>
      <c r="Z62" s="11"/>
      <c r="AA62" s="10" t="s">
        <v>33</v>
      </c>
      <c r="AB62" s="167" t="s">
        <v>225</v>
      </c>
      <c r="AC62" s="10" t="str">
        <f t="shared" si="2"/>
        <v>Musik (Scu)</v>
      </c>
      <c r="AD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">
      <c r="A63" s="11"/>
      <c r="B63" s="11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4"/>
      <c r="O63" s="10"/>
      <c r="P63" s="11"/>
      <c r="Q63" s="11"/>
      <c r="R63" s="5" t="s">
        <v>208</v>
      </c>
      <c r="V63" s="1" t="s">
        <v>209</v>
      </c>
      <c r="W63" s="11"/>
      <c r="X63" s="11"/>
      <c r="Y63" s="11"/>
      <c r="Z63" s="11"/>
      <c r="AA63" s="186" t="s">
        <v>97</v>
      </c>
      <c r="AB63" s="167" t="s">
        <v>234</v>
      </c>
      <c r="AC63" s="10" t="str">
        <f t="shared" si="2"/>
        <v>Physik (Sci)</v>
      </c>
      <c r="AD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">
      <c r="A64" s="170"/>
      <c r="B64" s="11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4"/>
      <c r="O64" s="10"/>
      <c r="P64" s="11"/>
      <c r="Q64" s="11"/>
      <c r="R64" s="51" t="s">
        <v>163</v>
      </c>
      <c r="S64" s="11"/>
      <c r="T64" s="11"/>
      <c r="U64" s="11"/>
      <c r="V64" s="11" t="s">
        <v>200</v>
      </c>
      <c r="W64" s="11"/>
      <c r="X64" s="11"/>
      <c r="Y64" s="11"/>
      <c r="Z64" s="11"/>
      <c r="AA64" s="167" t="s">
        <v>197</v>
      </c>
      <c r="AB64" s="167" t="s">
        <v>235</v>
      </c>
      <c r="AC64" s="10" t="str">
        <f t="shared" si="2"/>
        <v>Religion (BrF/Sin)</v>
      </c>
      <c r="AD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">
      <c r="A65" s="170"/>
      <c r="B65" s="11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4"/>
      <c r="O65" s="10"/>
      <c r="P65" s="11"/>
      <c r="Q65" s="11"/>
      <c r="S65" s="11"/>
      <c r="T65" s="11"/>
      <c r="U65" s="11"/>
      <c r="V65" s="11"/>
      <c r="W65" s="11"/>
      <c r="X65" s="11"/>
      <c r="Y65" s="11"/>
      <c r="Z65" s="11"/>
      <c r="AA65" s="167"/>
      <c r="AB65" s="167"/>
      <c r="AC65" s="10"/>
      <c r="AD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">
      <c r="A66" s="170"/>
      <c r="B66" s="11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4"/>
      <c r="O66" s="10"/>
      <c r="P66" s="11"/>
      <c r="Q66" s="11"/>
      <c r="W66" s="11"/>
      <c r="X66" s="11"/>
      <c r="Y66" s="11"/>
      <c r="Z66" s="11"/>
      <c r="AA66" s="10"/>
      <c r="AB66" s="167"/>
      <c r="AC66" s="10"/>
      <c r="AD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">
      <c r="A67" s="170"/>
      <c r="B67" s="1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4"/>
      <c r="O67" s="10"/>
      <c r="P67" s="11"/>
      <c r="Q67" s="11"/>
      <c r="W67" s="11"/>
      <c r="X67" s="11"/>
      <c r="Y67" s="11"/>
      <c r="Z67" s="11"/>
      <c r="AA67" s="185"/>
      <c r="AB67" s="167"/>
      <c r="AC67" s="10"/>
      <c r="AD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">
      <c r="A68" s="170"/>
      <c r="B68" s="1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4"/>
      <c r="O68" s="10"/>
      <c r="P68" s="11"/>
      <c r="Q68" s="11"/>
      <c r="W68" s="11"/>
      <c r="X68" s="11"/>
      <c r="Y68" s="11"/>
      <c r="Z68" s="11"/>
      <c r="AA68" s="167"/>
      <c r="AB68" s="167"/>
      <c r="AC68" s="10"/>
      <c r="AD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">
      <c r="A69" s="11"/>
      <c r="B69" s="11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4"/>
      <c r="O69" s="10"/>
      <c r="P69" s="11"/>
      <c r="Q69" s="11"/>
      <c r="S69" s="11"/>
      <c r="T69" s="11"/>
      <c r="U69" s="11"/>
      <c r="V69" s="11"/>
      <c r="W69" s="11"/>
      <c r="X69" s="11"/>
      <c r="Y69" s="11"/>
      <c r="Z69" s="11"/>
      <c r="AA69" s="167"/>
      <c r="AB69" s="167"/>
      <c r="AC69" s="10"/>
      <c r="AD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">
      <c r="A70" s="11"/>
      <c r="B70" s="11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4"/>
      <c r="O70" s="10"/>
      <c r="P70" s="11"/>
      <c r="Q70" s="11"/>
      <c r="R70" s="14"/>
      <c r="S70" s="11"/>
      <c r="T70" s="11"/>
      <c r="U70" s="11"/>
      <c r="V70" s="11"/>
      <c r="W70" s="11"/>
      <c r="X70" s="11"/>
      <c r="Y70" s="11"/>
      <c r="Z70" s="11"/>
      <c r="AB70" s="167"/>
      <c r="AC70" s="10"/>
      <c r="AD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">
      <c r="A71" s="11"/>
      <c r="B71" s="11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4"/>
      <c r="O71" s="10"/>
      <c r="P71" s="11"/>
      <c r="Q71" s="11"/>
      <c r="W71" s="11"/>
      <c r="X71" s="11"/>
      <c r="Y71" s="11"/>
      <c r="Z71" s="11"/>
      <c r="AA71" s="167"/>
      <c r="AC71" s="10"/>
      <c r="AD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">
      <c r="A72" s="11"/>
      <c r="B72" s="11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4"/>
      <c r="O72" s="10"/>
      <c r="P72" s="11"/>
      <c r="Q72" s="11"/>
      <c r="W72" s="11"/>
      <c r="X72" s="11"/>
      <c r="Y72" s="11"/>
      <c r="Z72" s="11"/>
      <c r="AA72" s="167"/>
      <c r="AB72" s="167"/>
      <c r="AC72" s="10"/>
      <c r="AD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">
      <c r="A73" s="11"/>
      <c r="B73" s="11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4"/>
      <c r="O73" s="10"/>
      <c r="P73" s="11"/>
      <c r="Q73" s="11"/>
      <c r="W73" s="11"/>
      <c r="X73" s="11"/>
      <c r="Y73" s="11"/>
      <c r="Z73" s="11"/>
      <c r="AA73" s="10" t="s">
        <v>96</v>
      </c>
      <c r="AB73" s="167" t="s">
        <v>221</v>
      </c>
      <c r="AC73" s="10" t="str">
        <f t="shared" ref="AC73" si="3">AA73&amp;" ("&amp;AB73&amp;")"</f>
        <v>Biologie (MeA)</v>
      </c>
      <c r="AD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">
      <c r="A74" s="11"/>
      <c r="B74" s="11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4"/>
      <c r="O74" s="10"/>
      <c r="P74" s="11"/>
      <c r="Q74" s="11"/>
      <c r="S74" s="11"/>
      <c r="T74" s="11"/>
      <c r="U74" s="11"/>
      <c r="V74" s="11"/>
      <c r="W74" s="11"/>
      <c r="X74" s="11"/>
      <c r="Y74" s="11"/>
      <c r="Z74" s="11"/>
      <c r="AA74" s="10" t="s">
        <v>17</v>
      </c>
      <c r="AB74" s="167" t="s">
        <v>236</v>
      </c>
      <c r="AC74" s="10" t="str">
        <f>AA74&amp;" ("&amp;AB74&amp;")"</f>
        <v>Deutsch (Meß)</v>
      </c>
      <c r="AD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">
      <c r="A75" s="11"/>
      <c r="B75" s="11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4"/>
      <c r="O75" s="10"/>
      <c r="P75" s="11"/>
      <c r="Q75" s="11"/>
      <c r="R75" s="14"/>
      <c r="S75" s="11"/>
      <c r="T75" s="11"/>
      <c r="U75" s="11"/>
      <c r="V75" s="11"/>
      <c r="W75" s="11"/>
      <c r="X75" s="11"/>
      <c r="Y75" s="11"/>
      <c r="Z75" s="11"/>
      <c r="AA75" s="167" t="s">
        <v>214</v>
      </c>
      <c r="AB75" s="167" t="s">
        <v>220</v>
      </c>
      <c r="AC75" s="10" t="str">
        <f>AA75&amp;" ("&amp;AB75&amp;")"</f>
        <v>Deutsch/Reli (Rau/BrF)</v>
      </c>
      <c r="AD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">
      <c r="A76" s="11"/>
      <c r="B76" s="11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4"/>
      <c r="O76" s="10"/>
      <c r="P76" s="11"/>
      <c r="Q76" s="11"/>
      <c r="W76" s="11"/>
      <c r="X76" s="11"/>
      <c r="Y76" s="11"/>
      <c r="Z76" s="11"/>
      <c r="AA76" s="10" t="s">
        <v>93</v>
      </c>
      <c r="AB76" s="167" t="s">
        <v>215</v>
      </c>
      <c r="AC76" s="10" t="str">
        <f>AA76&amp;" ("&amp;AB76&amp;")"</f>
        <v>Englisch (Wal)</v>
      </c>
      <c r="AD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">
      <c r="A77" s="11"/>
      <c r="B77" s="11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4"/>
      <c r="O77" s="10"/>
      <c r="P77" s="11"/>
      <c r="Q77" s="11"/>
      <c r="W77" s="11"/>
      <c r="X77" s="11"/>
      <c r="Y77" s="11"/>
      <c r="Z77" s="11"/>
      <c r="AA77" s="167" t="s">
        <v>99</v>
      </c>
      <c r="AB77" s="167" t="s">
        <v>222</v>
      </c>
      <c r="AC77" s="10" t="str">
        <f>AA77&amp;" ("&amp;AB77&amp;")"</f>
        <v>Geographie (Hey)</v>
      </c>
      <c r="AD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">
      <c r="A78" s="11"/>
      <c r="B78" s="11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4"/>
      <c r="O78" s="10"/>
      <c r="P78" s="11"/>
      <c r="Q78" s="11"/>
      <c r="S78" s="11"/>
      <c r="T78" s="11"/>
      <c r="U78" s="11"/>
      <c r="V78" s="11"/>
      <c r="W78" s="11"/>
      <c r="X78" s="11"/>
      <c r="Y78" s="11"/>
      <c r="Z78" s="11"/>
      <c r="AA78" s="167" t="s">
        <v>98</v>
      </c>
      <c r="AB78" s="167" t="s">
        <v>223</v>
      </c>
      <c r="AC78" s="10" t="str">
        <f>AA78&amp;" ("&amp;AB78&amp;")"</f>
        <v>Informatik (Haf/So)</v>
      </c>
      <c r="AD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">
      <c r="A79" s="11"/>
      <c r="B79" s="11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4"/>
      <c r="O79" s="10"/>
      <c r="P79" s="11"/>
      <c r="Q79" s="11"/>
      <c r="R79" s="12"/>
      <c r="S79" s="11"/>
      <c r="T79" s="11"/>
      <c r="U79" s="11"/>
      <c r="V79" s="11"/>
      <c r="W79" s="11"/>
      <c r="X79" s="11"/>
      <c r="Y79" s="11"/>
      <c r="Z79" s="11"/>
      <c r="AA79" s="167" t="s">
        <v>32</v>
      </c>
      <c r="AB79" s="167" t="s">
        <v>224</v>
      </c>
      <c r="AC79" s="10" t="str">
        <f>AA79&amp;" ("&amp;AB79&amp;")"</f>
        <v>Kunst (Püt)</v>
      </c>
      <c r="AD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">
      <c r="A80" s="11"/>
      <c r="B80" s="11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4"/>
      <c r="O80" s="10"/>
      <c r="P80" s="11"/>
      <c r="Q80" s="11"/>
      <c r="R80" s="12"/>
      <c r="S80" s="11"/>
      <c r="T80" s="11"/>
      <c r="U80" s="11"/>
      <c r="V80" s="11"/>
      <c r="W80" s="11"/>
      <c r="X80" s="11"/>
      <c r="Y80" s="11"/>
      <c r="Z80" s="11"/>
      <c r="AA80" s="167" t="s">
        <v>237</v>
      </c>
      <c r="AB80" s="167" t="s">
        <v>238</v>
      </c>
      <c r="AC80" s="10" t="str">
        <f>AA80&amp;" ("&amp;AB80&amp;")"</f>
        <v>Mathe/Chemie (Pen/Zim)</v>
      </c>
      <c r="AD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2">
      <c r="A81" s="11"/>
      <c r="B81" s="1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4"/>
      <c r="O81" s="10"/>
      <c r="P81" s="11"/>
      <c r="Q81" s="11"/>
      <c r="R81" s="12"/>
      <c r="S81" s="11"/>
      <c r="T81" s="11"/>
      <c r="U81" s="11"/>
      <c r="V81" s="11"/>
      <c r="W81" s="11"/>
      <c r="X81" s="11"/>
      <c r="Y81" s="11"/>
      <c r="Z81" s="11"/>
      <c r="AA81" s="167" t="s">
        <v>33</v>
      </c>
      <c r="AB81" s="167" t="s">
        <v>225</v>
      </c>
      <c r="AC81" s="10" t="str">
        <f>AA81&amp;" ("&amp;AB81&amp;")"</f>
        <v>Musik (Scu)</v>
      </c>
      <c r="AD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x14ac:dyDescent="0.2">
      <c r="A82" s="11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4"/>
      <c r="O82" s="10"/>
      <c r="P82" s="11"/>
      <c r="Q82" s="11"/>
      <c r="R82" s="12"/>
      <c r="S82" s="11"/>
      <c r="T82" s="11"/>
      <c r="U82" s="11"/>
      <c r="V82" s="11"/>
      <c r="W82" s="11"/>
      <c r="X82" s="11"/>
      <c r="Y82" s="11"/>
      <c r="Z82" s="11"/>
      <c r="AA82" s="20" t="s">
        <v>97</v>
      </c>
      <c r="AB82" s="167" t="s">
        <v>228</v>
      </c>
      <c r="AC82" s="10" t="str">
        <f>AA82&amp;" ("&amp;AB82&amp;")"</f>
        <v>Physik (Stü)</v>
      </c>
      <c r="AD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x14ac:dyDescent="0.2">
      <c r="A83" s="11"/>
      <c r="B83" s="11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4"/>
      <c r="O83" s="10"/>
      <c r="P83" s="11"/>
      <c r="Q83" s="11"/>
      <c r="R83" s="12"/>
      <c r="S83" s="11"/>
      <c r="T83" s="11"/>
      <c r="U83" s="11"/>
      <c r="V83" s="11"/>
      <c r="W83" s="11"/>
      <c r="X83" s="11"/>
      <c r="Y83" s="11"/>
      <c r="Z83" s="11"/>
      <c r="AA83" s="167" t="s">
        <v>197</v>
      </c>
      <c r="AB83" s="167" t="s">
        <v>226</v>
      </c>
      <c r="AC83" s="10" t="str">
        <f>AA83&amp;" ("&amp;AB83&amp;")"</f>
        <v>Religion (Wil/Gra)</v>
      </c>
      <c r="AD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2">
      <c r="A84" s="11"/>
      <c r="B84" s="1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4"/>
      <c r="O84" s="10"/>
      <c r="P84" s="11"/>
      <c r="Q84" s="11"/>
      <c r="R84" s="12"/>
      <c r="S84" s="11"/>
      <c r="T84" s="11"/>
      <c r="U84" s="11"/>
      <c r="V84" s="11"/>
      <c r="W84" s="11"/>
      <c r="X84" s="11"/>
      <c r="Y84" s="11"/>
      <c r="Z84" s="11"/>
      <c r="AA84" s="167" t="s">
        <v>24</v>
      </c>
      <c r="AB84" s="167" t="s">
        <v>227</v>
      </c>
      <c r="AC84" s="10" t="str">
        <f>AA84&amp;" ("&amp;AB84&amp;")"</f>
        <v>Sport (Wis)</v>
      </c>
      <c r="AD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x14ac:dyDescent="0.2">
      <c r="A85" s="11"/>
      <c r="B85" s="1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4"/>
      <c r="O85" s="10"/>
      <c r="P85" s="11"/>
      <c r="Q85" s="11"/>
      <c r="R85" s="12"/>
      <c r="S85" s="11"/>
      <c r="T85" s="11"/>
      <c r="U85" s="11"/>
      <c r="V85" s="11"/>
      <c r="W85" s="11"/>
      <c r="X85" s="11"/>
      <c r="Y85" s="11"/>
      <c r="Z85" s="11"/>
      <c r="AA85" s="167"/>
      <c r="AB85" s="167"/>
      <c r="AC85" s="10"/>
      <c r="AD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x14ac:dyDescent="0.2">
      <c r="AA86" s="183"/>
      <c r="AB86" s="167"/>
      <c r="AC86" s="10"/>
    </row>
    <row r="87" spans="1:59" x14ac:dyDescent="0.2">
      <c r="AA87" s="10"/>
      <c r="AB87" s="167"/>
      <c r="AC87" s="10"/>
    </row>
    <row r="88" spans="1:59" x14ac:dyDescent="0.2">
      <c r="AA88" s="167"/>
      <c r="AB88" s="167"/>
      <c r="AC88" s="10"/>
    </row>
    <row r="89" spans="1:59" x14ac:dyDescent="0.2">
      <c r="AA89" s="183"/>
      <c r="AB89" s="167"/>
      <c r="AC89" s="10"/>
    </row>
    <row r="90" spans="1:59" x14ac:dyDescent="0.2">
      <c r="AA90" s="183"/>
      <c r="AB90" s="167"/>
      <c r="AC90" s="10"/>
    </row>
  </sheetData>
  <sheetProtection algorithmName="SHA-512" hashValue="7dx0LPo/O2doTfhn5P9DZnPadLbxcZ8wOqiarGaT1Aa+8UnkPai8ObHJZYS3SNH2ZaOyp58NV1tOp9XLmqrVAA==" saltValue="UPs1xXhYgApGVMCvPgJA7Q==" spinCount="100000" sheet="1" selectLockedCells="1"/>
  <sortState ref="AA74:AC84">
    <sortCondition ref="AA73"/>
  </sortState>
  <mergeCells count="18">
    <mergeCell ref="B3:D3"/>
    <mergeCell ref="A13:A14"/>
    <mergeCell ref="C13:C14"/>
    <mergeCell ref="D13:D14"/>
    <mergeCell ref="B4:D4"/>
    <mergeCell ref="I3:M3"/>
    <mergeCell ref="G9:H9"/>
    <mergeCell ref="L13:L14"/>
    <mergeCell ref="N28:N29"/>
    <mergeCell ref="N31:N32"/>
    <mergeCell ref="E4:I4"/>
    <mergeCell ref="N33:N34"/>
    <mergeCell ref="A51:A55"/>
    <mergeCell ref="G52:J52"/>
    <mergeCell ref="E13:E14"/>
    <mergeCell ref="F13:F14"/>
    <mergeCell ref="G13:J13"/>
    <mergeCell ref="K13:K14"/>
  </mergeCells>
  <conditionalFormatting sqref="N26:N28 N30:N35 N1 N16:N24">
    <cfRule type="cellIs" dxfId="77" priority="281" stopIfTrue="1" operator="equal">
      <formula>"_"</formula>
    </cfRule>
    <cfRule type="cellIs" dxfId="76" priority="282" stopIfTrue="1" operator="notEqual">
      <formula>"_"</formula>
    </cfRule>
  </conditionalFormatting>
  <conditionalFormatting sqref="N43">
    <cfRule type="cellIs" dxfId="75" priority="279" stopIfTrue="1" operator="equal">
      <formula>"_"</formula>
    </cfRule>
    <cfRule type="cellIs" dxfId="74" priority="280" stopIfTrue="1" operator="notEqual">
      <formula>"_"</formula>
    </cfRule>
  </conditionalFormatting>
  <conditionalFormatting sqref="N41 N37">
    <cfRule type="cellIs" dxfId="73" priority="273" stopIfTrue="1" operator="equal">
      <formula>"_"</formula>
    </cfRule>
    <cfRule type="cellIs" dxfId="72" priority="274" stopIfTrue="1" operator="notEqual">
      <formula>"_"</formula>
    </cfRule>
  </conditionalFormatting>
  <conditionalFormatting sqref="E16:E17 B26:B29 E26">
    <cfRule type="cellIs" dxfId="71" priority="269" stopIfTrue="1" operator="equal">
      <formula>"s"</formula>
    </cfRule>
    <cfRule type="cellIs" dxfId="70" priority="270" stopIfTrue="1" operator="equal">
      <formula>"c"</formula>
    </cfRule>
  </conditionalFormatting>
  <conditionalFormatting sqref="A16:A17 A26:A34">
    <cfRule type="expression" dxfId="69" priority="267" stopIfTrue="1">
      <formula>OR(E16="s",E16="S")</formula>
    </cfRule>
    <cfRule type="expression" dxfId="68" priority="268" stopIfTrue="1">
      <formula>OR(E16="c",E16="C")</formula>
    </cfRule>
  </conditionalFormatting>
  <conditionalFormatting sqref="A21:A23">
    <cfRule type="expression" dxfId="67" priority="265" stopIfTrue="1">
      <formula>OR(E21="s",E21="S")</formula>
    </cfRule>
    <cfRule type="expression" dxfId="66" priority="266" stopIfTrue="1">
      <formula>OR(E21="c",E21="C")</formula>
    </cfRule>
  </conditionalFormatting>
  <conditionalFormatting sqref="F11">
    <cfRule type="expression" dxfId="65" priority="259" stopIfTrue="1">
      <formula>OR(I44="Abi",I43="Abi",I42="Abi")</formula>
    </cfRule>
  </conditionalFormatting>
  <conditionalFormatting sqref="A21">
    <cfRule type="expression" dxfId="64" priority="254" stopIfTrue="1">
      <formula>OR(E22="c",E22="C")</formula>
    </cfRule>
    <cfRule type="expression" dxfId="63" priority="255" stopIfTrue="1">
      <formula>OR(E22="s",E22="S")</formula>
    </cfRule>
  </conditionalFormatting>
  <conditionalFormatting sqref="A18">
    <cfRule type="expression" dxfId="62" priority="246" stopIfTrue="1">
      <formula>OR(E18="s",E18="S")</formula>
    </cfRule>
    <cfRule type="expression" dxfId="61" priority="247" stopIfTrue="1">
      <formula>OR(E18="c",E18="C")</formula>
    </cfRule>
  </conditionalFormatting>
  <conditionalFormatting sqref="A19:A20">
    <cfRule type="expression" dxfId="60" priority="244" stopIfTrue="1">
      <formula>OR(E19="s",E19="S")</formula>
    </cfRule>
    <cfRule type="expression" dxfId="59" priority="245" stopIfTrue="1">
      <formula>OR(E19="c",E19="C")</formula>
    </cfRule>
  </conditionalFormatting>
  <conditionalFormatting sqref="B3:D4 H7:H8 I3 G9 J4:J6">
    <cfRule type="cellIs" dxfId="58" priority="243" stopIfTrue="1" operator="greaterThan">
      <formula>0</formula>
    </cfRule>
  </conditionalFormatting>
  <conditionalFormatting sqref="B26:B29">
    <cfRule type="cellIs" dxfId="57" priority="232" stopIfTrue="1" operator="equal">
      <formula>"L"</formula>
    </cfRule>
    <cfRule type="cellIs" dxfId="56" priority="233" stopIfTrue="1" operator="equal">
      <formula>"F"</formula>
    </cfRule>
    <cfRule type="cellIs" dxfId="55" priority="234" stopIfTrue="1" operator="equal">
      <formula>"E"</formula>
    </cfRule>
  </conditionalFormatting>
  <conditionalFormatting sqref="B27">
    <cfRule type="cellIs" dxfId="54" priority="225" stopIfTrue="1" operator="equal">
      <formula>"PAs"</formula>
    </cfRule>
    <cfRule type="cellIs" dxfId="53" priority="226" stopIfTrue="1" operator="equal">
      <formula>"B"</formula>
    </cfRule>
    <cfRule type="cellIs" dxfId="52" priority="227" stopIfTrue="1" operator="equal">
      <formula>"Ch"</formula>
    </cfRule>
    <cfRule type="cellIs" dxfId="51" priority="228" stopIfTrue="1" operator="equal">
      <formula>"Ph"</formula>
    </cfRule>
  </conditionalFormatting>
  <conditionalFormatting sqref="B29">
    <cfRule type="cellIs" dxfId="50" priority="221" stopIfTrue="1" operator="equal">
      <formula>"Inf"</formula>
    </cfRule>
    <cfRule type="cellIs" dxfId="49" priority="222" stopIfTrue="1" operator="equal">
      <formula>"B"</formula>
    </cfRule>
    <cfRule type="cellIs" dxfId="48" priority="223" stopIfTrue="1" operator="equal">
      <formula>"Ch"</formula>
    </cfRule>
    <cfRule type="cellIs" dxfId="47" priority="224" stopIfTrue="1" operator="equal">
      <formula>"Ph"</formula>
    </cfRule>
  </conditionalFormatting>
  <conditionalFormatting sqref="N9:R9">
    <cfRule type="expression" dxfId="46" priority="262" stopIfTrue="1">
      <formula>OR(M9="nein")</formula>
    </cfRule>
    <cfRule type="expression" dxfId="45" priority="287" stopIfTrue="1">
      <formula>OR($M$9="ja")</formula>
    </cfRule>
  </conditionalFormatting>
  <conditionalFormatting sqref="N7:N8">
    <cfRule type="expression" dxfId="44" priority="289" stopIfTrue="1">
      <formula>OR(M9="nein")</formula>
    </cfRule>
  </conditionalFormatting>
  <conditionalFormatting sqref="E31:E34 E26:E29 E21:E23">
    <cfRule type="cellIs" dxfId="43" priority="213" stopIfTrue="1" operator="equal">
      <formula>"x"</formula>
    </cfRule>
    <cfRule type="cellIs" dxfId="42" priority="214" stopIfTrue="1" operator="equal">
      <formula>"s"</formula>
    </cfRule>
    <cfRule type="cellIs" dxfId="41" priority="215" stopIfTrue="1" operator="equal">
      <formula>"c"</formula>
    </cfRule>
  </conditionalFormatting>
  <conditionalFormatting sqref="E44 E46 E48">
    <cfRule type="cellIs" dxfId="40" priority="190" stopIfTrue="1" operator="equal">
      <formula>"x"</formula>
    </cfRule>
    <cfRule type="cellIs" dxfId="39" priority="191" stopIfTrue="1" operator="equal">
      <formula>"b"</formula>
    </cfRule>
  </conditionalFormatting>
  <conditionalFormatting sqref="E44 E46 E48">
    <cfRule type="cellIs" dxfId="38" priority="189" stopIfTrue="1" operator="equal">
      <formula>"A"</formula>
    </cfRule>
  </conditionalFormatting>
  <conditionalFormatting sqref="E31:E34 E28:E29">
    <cfRule type="cellIs" dxfId="37" priority="179" stopIfTrue="1" operator="equal">
      <formula>"a"</formula>
    </cfRule>
    <cfRule type="cellIs" dxfId="36" priority="180" stopIfTrue="1" operator="equal">
      <formula>"x"</formula>
    </cfRule>
    <cfRule type="cellIs" dxfId="35" priority="181" stopIfTrue="1" operator="equal">
      <formula>"s"</formula>
    </cfRule>
    <cfRule type="cellIs" dxfId="34" priority="182" stopIfTrue="1" operator="equal">
      <formula>"c"</formula>
    </cfRule>
  </conditionalFormatting>
  <conditionalFormatting sqref="E41:E43">
    <cfRule type="cellIs" dxfId="33" priority="170" stopIfTrue="1" operator="equal">
      <formula>"x"</formula>
    </cfRule>
  </conditionalFormatting>
  <conditionalFormatting sqref="E30">
    <cfRule type="cellIs" dxfId="32" priority="144" stopIfTrue="1" operator="equal">
      <formula>"x"</formula>
    </cfRule>
    <cfRule type="cellIs" dxfId="31" priority="146" stopIfTrue="1" operator="equal">
      <formula>"c"</formula>
    </cfRule>
    <cfRule type="expression" dxfId="30" priority="147" stopIfTrue="1">
      <formula>OR($H$7="ja",$H$8="ja",$H$7="Ja",$H$8="Ja")</formula>
    </cfRule>
  </conditionalFormatting>
  <conditionalFormatting sqref="N42">
    <cfRule type="expression" dxfId="29" priority="134" stopIfTrue="1">
      <formula>OR(P37&gt;1)</formula>
    </cfRule>
  </conditionalFormatting>
  <conditionalFormatting sqref="E18">
    <cfRule type="cellIs" dxfId="28" priority="290" stopIfTrue="1" operator="equal">
      <formula>"x"</formula>
    </cfRule>
    <cfRule type="cellIs" dxfId="27" priority="291" stopIfTrue="1" operator="equal">
      <formula>"s"</formula>
    </cfRule>
    <cfRule type="cellIs" dxfId="26" priority="292" stopIfTrue="1" operator="equal">
      <formula>"c"</formula>
    </cfRule>
    <cfRule type="expression" dxfId="25" priority="293" stopIfTrue="1">
      <formula>OR($J$6="ev")</formula>
    </cfRule>
  </conditionalFormatting>
  <conditionalFormatting sqref="E19">
    <cfRule type="cellIs" dxfId="24" priority="294" stopIfTrue="1" operator="equal">
      <formula>"x"</formula>
    </cfRule>
    <cfRule type="cellIs" dxfId="23" priority="295" stopIfTrue="1" operator="equal">
      <formula>"s"</formula>
    </cfRule>
    <cfRule type="cellIs" dxfId="22" priority="296" stopIfTrue="1" operator="equal">
      <formula>"c"</formula>
    </cfRule>
    <cfRule type="expression" dxfId="21" priority="297" stopIfTrue="1">
      <formula>OR($J$6="k")</formula>
    </cfRule>
  </conditionalFormatting>
  <conditionalFormatting sqref="E20">
    <cfRule type="cellIs" dxfId="20" priority="298" stopIfTrue="1" operator="equal">
      <formula>"x"</formula>
    </cfRule>
    <cfRule type="cellIs" dxfId="19" priority="299" stopIfTrue="1" operator="equal">
      <formula>"s"</formula>
    </cfRule>
    <cfRule type="cellIs" dxfId="18" priority="300" stopIfTrue="1" operator="equal">
      <formula>"c"</formula>
    </cfRule>
    <cfRule type="expression" dxfId="17" priority="301" stopIfTrue="1">
      <formula>OR($J$6="eth")</formula>
    </cfRule>
  </conditionalFormatting>
  <conditionalFormatting sqref="N6">
    <cfRule type="cellIs" dxfId="16" priority="129" stopIfTrue="1" operator="equal">
      <formula>FALSE</formula>
    </cfRule>
    <cfRule type="expression" dxfId="15" priority="131" stopIfTrue="1">
      <formula>AND(J6="eth",OR(J5="k",J5="ev"),OR(E20="S",E20="C"))</formula>
    </cfRule>
  </conditionalFormatting>
  <conditionalFormatting sqref="N5">
    <cfRule type="expression" dxfId="14" priority="130" stopIfTrue="1">
      <formula>AND(J6="eth",J5&lt;&gt;"eth")</formula>
    </cfRule>
  </conditionalFormatting>
  <conditionalFormatting sqref="M9">
    <cfRule type="cellIs" dxfId="13" priority="351" stopIfTrue="1" operator="equal">
      <formula>"ja"</formula>
    </cfRule>
    <cfRule type="expression" dxfId="12" priority="352" stopIfTrue="1">
      <formula>OR($D$43="Abi",$D$42="Abi",$D$41="Abi")</formula>
    </cfRule>
  </conditionalFormatting>
  <conditionalFormatting sqref="N9">
    <cfRule type="expression" dxfId="11" priority="353" stopIfTrue="1">
      <formula>OR(D43="Abi",D42="Abi",D41="Abi")</formula>
    </cfRule>
  </conditionalFormatting>
  <conditionalFormatting sqref="F9:F10">
    <cfRule type="expression" dxfId="10" priority="355" stopIfTrue="1">
      <formula>OR(I43="Abi",I42="Abi",I41="Abi")</formula>
    </cfRule>
  </conditionalFormatting>
  <conditionalFormatting sqref="G10:J11">
    <cfRule type="expression" dxfId="9" priority="358" stopIfTrue="1">
      <formula>OR(#REF!="nein")</formula>
    </cfRule>
    <cfRule type="expression" dxfId="8" priority="359" stopIfTrue="1">
      <formula>OR($M$9="ja")</formula>
    </cfRule>
  </conditionalFormatting>
  <conditionalFormatting sqref="M11">
    <cfRule type="cellIs" dxfId="7" priority="1" stopIfTrue="1" operator="greaterThan">
      <formula>0</formula>
    </cfRule>
  </conditionalFormatting>
  <dataValidations xWindow="520" yWindow="221" count="15">
    <dataValidation type="list" allowBlank="1" showInputMessage="1" showErrorMessage="1" error="Hier nur S/C/X möglich!" prompt="Bitte auswählen!" sqref="E33:E34 E27 E21:E23" xr:uid="{00000000-0002-0000-0100-000000000000}">
      <formula1>"S,C,X"</formula1>
    </dataValidation>
    <dataValidation type="list" allowBlank="1" showInputMessage="1" showErrorMessage="1" prompt="Bitte auswählen!" sqref="B37:B38" xr:uid="{00000000-0002-0000-0100-000001000000}">
      <formula1>$AC$57:$AC$64</formula1>
    </dataValidation>
    <dataValidation type="list" allowBlank="1" showInputMessage="1" showErrorMessage="1" error="Hier ist nur A- oder X-Belegung möglich!" prompt="Bitte auswählen!" sqref="E44 E48 E46" xr:uid="{00000000-0002-0000-0100-000002000000}">
      <formula1>"A,X"</formula1>
    </dataValidation>
    <dataValidation type="list" allowBlank="1" showInputMessage="1" showErrorMessage="1" error="Hier nur S/C/X/A möglich!" prompt="Bitte auswählen!" sqref="E31:E32" xr:uid="{00000000-0002-0000-0100-000003000000}">
      <formula1>"S,C,X"</formula1>
    </dataValidation>
    <dataValidation type="list" allowBlank="1" showInputMessage="1" showErrorMessage="1" sqref="J5:J6" xr:uid="{00000000-0002-0000-0100-000004000000}">
      <formula1>"ev,k,eth"</formula1>
    </dataValidation>
    <dataValidation type="list" allowBlank="1" showInputMessage="1" showErrorMessage="1" sqref="H7:H8 M11" xr:uid="{00000000-0002-0000-0100-000005000000}">
      <formula1>"ja,nein"</formula1>
    </dataValidation>
    <dataValidation type="list" allowBlank="1" showInputMessage="1" showErrorMessage="1" sqref="G9:H9" xr:uid="{00000000-0002-0000-0100-000006000000}">
      <formula1>"NTG,SG,MuG,EK"</formula1>
    </dataValidation>
    <dataValidation type="list" allowBlank="1" showInputMessage="1" showErrorMessage="1" error="Bitte wähle aus der Liste aus!" prompt="Bitte auswählen!" sqref="B26 B28" xr:uid="{00000000-0002-0000-0100-000007000000}">
      <formula1>"E,F,L"</formula1>
    </dataValidation>
    <dataValidation type="list" allowBlank="1" showInputMessage="1" showErrorMessage="1" error="Bitte wähle aus der Liste aus!" prompt="Bitte auswählen!" sqref="B27" xr:uid="{00000000-0002-0000-0100-000008000000}">
      <formula1>"B,Ch,Ph"</formula1>
    </dataValidation>
    <dataValidation type="list" allowBlank="1" showInputMessage="1" showErrorMessage="1" error="Bitte wähle aus der Liste aus!" prompt="Bitte auswählen!" sqref="B29" xr:uid="{00000000-0002-0000-0100-000009000000}">
      <formula1>"B,Ch,Ph,Inf"</formula1>
    </dataValidation>
    <dataValidation type="list" allowBlank="1" showInputMessage="1" showErrorMessage="1" error="Hier nur S/C möglich!" prompt="Bitte auswählen!" sqref="E26" xr:uid="{00000000-0002-0000-0100-00000A000000}">
      <formula1>"S,C"</formula1>
    </dataValidation>
    <dataValidation type="list" allowBlank="1" showInputMessage="1" showErrorMessage="1" error="Hier nur S/C/X/A möglich!" prompt="Bitte auswählen!" sqref="E28:E29" xr:uid="{00000000-0002-0000-0100-00000B000000}">
      <formula1>"S,C,X,A"</formula1>
    </dataValidation>
    <dataValidation type="list" allowBlank="1" showInputMessage="1" showErrorMessage="1" error="Hier nur C/X möglich!" prompt="Bitte auswählen!" sqref="E30" xr:uid="{00000000-0002-0000-0100-00000C000000}">
      <formula1>"C,X"</formula1>
    </dataValidation>
    <dataValidation type="list" allowBlank="1" showInputMessage="1" showErrorMessage="1" prompt="Bitte auswählen!" sqref="B39:B40" xr:uid="{00000000-0002-0000-0100-00000D000000}">
      <formula1>$AC$73:$AC$84</formula1>
    </dataValidation>
    <dataValidation type="list" allowBlank="1" showInputMessage="1" showErrorMessage="1" prompt="Bitte auswählen!" sqref="B44:B49" xr:uid="{00000000-0002-0000-0100-00000E000000}">
      <formula1>$R$57:$R$64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>
    <oddHeader>&amp;LTestwahl</oddHeader>
  </headerFooter>
  <ignoredErrors>
    <ignoredError sqref="Q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92D050"/>
  </sheetPr>
  <dimension ref="A1:BG72"/>
  <sheetViews>
    <sheetView showZeros="0" zoomScale="85" zoomScaleNormal="85" zoomScalePageLayoutView="90" workbookViewId="0"/>
  </sheetViews>
  <sheetFormatPr baseColWidth="10" defaultColWidth="11.5703125" defaultRowHeight="16.899999999999999" customHeight="1" x14ac:dyDescent="0.2"/>
  <cols>
    <col min="1" max="1" width="6.7109375" style="80" customWidth="1"/>
    <col min="2" max="2" width="10" style="80" customWidth="1"/>
    <col min="3" max="3" width="30.7109375" style="81" customWidth="1"/>
    <col min="4" max="4" width="5.28515625" style="75" customWidth="1"/>
    <col min="5" max="5" width="10.7109375" style="75" customWidth="1"/>
    <col min="6" max="9" width="4.85546875" style="75" customWidth="1"/>
    <col min="10" max="11" width="6.7109375" style="75" hidden="1" customWidth="1"/>
    <col min="12" max="12" width="6.85546875" style="75" customWidth="1"/>
    <col min="13" max="13" width="5.140625" style="80" customWidth="1"/>
    <col min="14" max="14" width="5.5703125" style="80" customWidth="1"/>
    <col min="15" max="16" width="7" style="81" customWidth="1"/>
    <col min="17" max="17" width="22.7109375" style="81" customWidth="1"/>
    <col min="18" max="19" width="7" style="81" customWidth="1"/>
    <col min="20" max="20" width="5.140625" style="81" customWidth="1"/>
    <col min="21" max="21" width="11.140625" style="81" customWidth="1"/>
    <col min="22" max="23" width="5.140625" style="81" customWidth="1"/>
    <col min="24" max="24" width="24.7109375" style="81" customWidth="1"/>
    <col min="25" max="25" width="5.140625" style="81" customWidth="1"/>
    <col min="26" max="26" width="42.85546875" style="81" customWidth="1"/>
    <col min="27" max="27" width="27.7109375" style="80" customWidth="1"/>
    <col min="28" max="28" width="33.28515625" style="80" customWidth="1"/>
    <col min="29" max="29" width="11.42578125" style="80" customWidth="1"/>
    <col min="30" max="16384" width="11.5703125" style="80"/>
  </cols>
  <sheetData>
    <row r="1" spans="1:59" ht="16.899999999999999" customHeight="1" x14ac:dyDescent="0.2">
      <c r="A1" s="74" t="s">
        <v>167</v>
      </c>
      <c r="B1" s="74"/>
      <c r="C1" s="74"/>
      <c r="E1" s="76" t="s">
        <v>217</v>
      </c>
      <c r="F1" s="77"/>
      <c r="H1" s="76" t="s">
        <v>81</v>
      </c>
      <c r="I1" s="234">
        <f ca="1">TODAY()</f>
        <v>44515</v>
      </c>
      <c r="J1" s="234"/>
      <c r="K1" s="234"/>
      <c r="L1" s="234"/>
      <c r="M1" s="234"/>
      <c r="N1" s="78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</row>
    <row r="2" spans="1:59" ht="16.899999999999999" customHeight="1" x14ac:dyDescent="0.2">
      <c r="C2" s="74"/>
      <c r="D2" s="77"/>
      <c r="E2" s="77"/>
      <c r="F2" s="77"/>
      <c r="H2" s="76" t="s">
        <v>82</v>
      </c>
      <c r="I2" s="235" t="s">
        <v>216</v>
      </c>
      <c r="J2" s="235"/>
      <c r="K2" s="235"/>
      <c r="L2" s="235"/>
      <c r="M2" s="235"/>
      <c r="N2" s="7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</row>
    <row r="3" spans="1:59" ht="16.899999999999999" customHeight="1" x14ac:dyDescent="0.2">
      <c r="A3" s="74" t="s">
        <v>83</v>
      </c>
      <c r="B3" s="74"/>
      <c r="D3" s="74"/>
      <c r="E3" s="74"/>
      <c r="H3" s="80"/>
      <c r="I3" s="76" t="s">
        <v>84</v>
      </c>
      <c r="J3" s="77"/>
      <c r="K3" s="77"/>
      <c r="L3" s="77">
        <f>'2. Wahl ausfüllen'!B4</f>
        <v>0</v>
      </c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</row>
    <row r="4" spans="1:59" ht="16.899999999999999" customHeight="1" x14ac:dyDescent="0.25">
      <c r="B4" s="76" t="s">
        <v>79</v>
      </c>
      <c r="C4" s="146">
        <f>'2. Wahl ausfüllen'!B3</f>
        <v>0</v>
      </c>
      <c r="E4" s="74"/>
      <c r="F4" s="166" t="str">
        <f>IF('2. Wahl ausfüllen'!$J$6="eth",IF(OR('2. Wahl ausfüllen'!$J$5="ev",'2. Wahl ausfüllen'!$J$5="k"),IF(OR('2. Wahl ausfüllen'!E20="C",'2. Wahl ausfüllen'!E20="S"),"FP!",""),""),"")</f>
        <v/>
      </c>
      <c r="H4" s="80"/>
      <c r="I4" s="82" t="s">
        <v>86</v>
      </c>
      <c r="J4" s="77"/>
      <c r="K4" s="77"/>
      <c r="L4" s="77">
        <f>'2. Wahl ausfüllen'!J4</f>
        <v>0</v>
      </c>
      <c r="M4" s="166" t="str">
        <f>IF(AND('2. Wahl ausfüllen'!$J$6="eth",'2. Wahl ausfüllen'!$J$5&lt;&gt;"eth"),"Abm","")</f>
        <v/>
      </c>
      <c r="N4" s="78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59" ht="16.899999999999999" customHeight="1" x14ac:dyDescent="0.2">
      <c r="B5" s="82" t="s">
        <v>85</v>
      </c>
      <c r="C5" s="145">
        <f>'2. Wahl ausfüllen'!I3</f>
        <v>0</v>
      </c>
      <c r="D5" s="74"/>
      <c r="E5" s="74"/>
      <c r="H5" s="80"/>
      <c r="I5" s="83" t="s">
        <v>87</v>
      </c>
      <c r="J5" s="77"/>
      <c r="K5" s="77"/>
      <c r="L5" s="77">
        <f>'2. Wahl ausfüllen'!G9</f>
        <v>0</v>
      </c>
      <c r="M5" s="78"/>
      <c r="N5" s="78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</row>
    <row r="6" spans="1:59" ht="16.899999999999999" customHeight="1" thickBot="1" x14ac:dyDescent="0.25">
      <c r="A6" s="184" t="str">
        <f>IF('2. Wahl ausfüllen'!M11="ja","Austritt","")</f>
        <v/>
      </c>
      <c r="C6" s="164" t="str">
        <f>IF(OR(M34="X",M35="X",M36="X"),"Note 3 bei Additum?:","")</f>
        <v/>
      </c>
      <c r="D6" s="84">
        <f>'2. Wahl ausfüllen'!M9</f>
        <v>0</v>
      </c>
      <c r="E6" s="84"/>
      <c r="F6" s="240" t="s">
        <v>192</v>
      </c>
      <c r="G6" s="240"/>
      <c r="H6" s="240"/>
      <c r="I6" s="240"/>
      <c r="J6" s="84"/>
      <c r="K6" s="84"/>
      <c r="L6" s="84" t="str">
        <f>IF('2. Wahl ausfüllen'!B30="Italienisch","Isp",IF('2. Wahl ausfüllen'!B30="Französisch","Fsp","--"))</f>
        <v>--</v>
      </c>
      <c r="M6" s="84"/>
      <c r="N6" s="78"/>
      <c r="O6" s="85"/>
      <c r="P6" s="85"/>
      <c r="Q6" s="79"/>
      <c r="R6" s="79"/>
      <c r="S6" s="79"/>
      <c r="T6" s="79"/>
      <c r="U6" s="79"/>
      <c r="V6" s="79"/>
      <c r="W6" s="79"/>
      <c r="X6" s="79"/>
      <c r="Y6" s="79"/>
      <c r="Z6" s="79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59" ht="16.899999999999999" customHeight="1" x14ac:dyDescent="0.2">
      <c r="A7" s="86"/>
      <c r="B7" s="87"/>
      <c r="C7" s="87"/>
      <c r="D7" s="228" t="s">
        <v>3</v>
      </c>
      <c r="E7" s="230" t="s">
        <v>101</v>
      </c>
      <c r="F7" s="241" t="s">
        <v>6</v>
      </c>
      <c r="G7" s="242"/>
      <c r="H7" s="242"/>
      <c r="I7" s="243"/>
      <c r="J7" s="228" t="s">
        <v>7</v>
      </c>
      <c r="K7" s="230" t="s">
        <v>8</v>
      </c>
      <c r="L7" s="236" t="s">
        <v>102</v>
      </c>
      <c r="M7" s="237"/>
      <c r="N7" s="78"/>
      <c r="O7" s="88"/>
      <c r="P7" s="85"/>
      <c r="Q7" s="79"/>
      <c r="R7" s="79"/>
      <c r="S7" s="79"/>
      <c r="T7" s="85"/>
      <c r="U7" s="85"/>
      <c r="V7" s="85"/>
      <c r="W7" s="85"/>
      <c r="X7" s="85"/>
      <c r="Y7" s="79"/>
      <c r="Z7" s="79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8" spans="1:59" ht="16.899999999999999" customHeight="1" thickBot="1" x14ac:dyDescent="0.25">
      <c r="A8" s="89"/>
      <c r="B8" s="90" t="s">
        <v>2</v>
      </c>
      <c r="C8" s="91"/>
      <c r="D8" s="229"/>
      <c r="E8" s="231"/>
      <c r="F8" s="92" t="s">
        <v>11</v>
      </c>
      <c r="G8" s="93" t="s">
        <v>12</v>
      </c>
      <c r="H8" s="92" t="s">
        <v>13</v>
      </c>
      <c r="I8" s="94" t="s">
        <v>14</v>
      </c>
      <c r="J8" s="244"/>
      <c r="K8" s="245"/>
      <c r="L8" s="238"/>
      <c r="M8" s="239"/>
      <c r="N8" s="78"/>
      <c r="O8" s="88"/>
      <c r="P8" s="85"/>
      <c r="Q8" s="79"/>
      <c r="R8" s="79"/>
      <c r="S8" s="79"/>
      <c r="T8" s="79"/>
      <c r="U8" s="79"/>
      <c r="V8" s="79"/>
      <c r="W8" s="79"/>
      <c r="X8" s="79"/>
      <c r="Y8" s="79"/>
      <c r="Z8" s="79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</row>
    <row r="9" spans="1:59" ht="16.899999999999999" customHeight="1" thickBot="1" x14ac:dyDescent="0.25">
      <c r="A9" s="96" t="s">
        <v>90</v>
      </c>
      <c r="B9" s="232" t="s">
        <v>88</v>
      </c>
      <c r="C9" s="233"/>
      <c r="D9" s="97">
        <v>2</v>
      </c>
      <c r="E9" s="97" t="s">
        <v>127</v>
      </c>
      <c r="F9" s="97" t="str">
        <f>IF(OR($M9="S",$M9="C",$M9="X"),2,"")</f>
        <v/>
      </c>
      <c r="G9" s="97" t="str">
        <f t="shared" ref="G9:I11" si="0">IF(OR($M9="S",$M9="C",$M9="X"),2,"")</f>
        <v/>
      </c>
      <c r="H9" s="97" t="str">
        <f t="shared" si="0"/>
        <v/>
      </c>
      <c r="I9" s="97" t="str">
        <f t="shared" si="0"/>
        <v/>
      </c>
      <c r="J9" s="98"/>
      <c r="K9" s="99"/>
      <c r="L9" s="132" t="s">
        <v>109</v>
      </c>
      <c r="M9" s="133" t="str">
        <f>IF('2. Wahl ausfüllen'!E18=0,"",'2. Wahl ausfüllen'!E18)</f>
        <v/>
      </c>
      <c r="N9" s="78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0" spans="1:59" ht="16.899999999999999" customHeight="1" thickBot="1" x14ac:dyDescent="0.25">
      <c r="A10" s="100"/>
      <c r="B10" s="223" t="s">
        <v>89</v>
      </c>
      <c r="C10" s="224"/>
      <c r="D10" s="102">
        <v>2</v>
      </c>
      <c r="E10" s="97" t="s">
        <v>127</v>
      </c>
      <c r="F10" s="97" t="str">
        <f>IF(OR($M10="S",$M10="C",$M10="X"),2,"")</f>
        <v/>
      </c>
      <c r="G10" s="97" t="str">
        <f t="shared" si="0"/>
        <v/>
      </c>
      <c r="H10" s="97" t="str">
        <f t="shared" si="0"/>
        <v/>
      </c>
      <c r="I10" s="97" t="str">
        <f t="shared" si="0"/>
        <v/>
      </c>
      <c r="J10" s="98"/>
      <c r="K10" s="99"/>
      <c r="L10" s="134" t="s">
        <v>103</v>
      </c>
      <c r="M10" s="133" t="str">
        <f>IF('2. Wahl ausfüllen'!E19=0,"",'2. Wahl ausfüllen'!E19)</f>
        <v/>
      </c>
      <c r="N10" s="78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59" ht="16.899999999999999" customHeight="1" thickBot="1" x14ac:dyDescent="0.25">
      <c r="A11" s="100"/>
      <c r="B11" s="223" t="s">
        <v>23</v>
      </c>
      <c r="C11" s="224"/>
      <c r="D11" s="102">
        <v>2</v>
      </c>
      <c r="E11" s="97" t="s">
        <v>127</v>
      </c>
      <c r="F11" s="97" t="str">
        <f>IF(OR($M11="S",$M11="C",$M11="X"),2,"")</f>
        <v/>
      </c>
      <c r="G11" s="97" t="str">
        <f t="shared" si="0"/>
        <v/>
      </c>
      <c r="H11" s="97" t="str">
        <f t="shared" si="0"/>
        <v/>
      </c>
      <c r="I11" s="97" t="str">
        <f t="shared" si="0"/>
        <v/>
      </c>
      <c r="J11" s="98"/>
      <c r="K11" s="99"/>
      <c r="L11" s="134" t="s">
        <v>108</v>
      </c>
      <c r="M11" s="133" t="str">
        <f>IF('2. Wahl ausfüllen'!E20=0,"",'2. Wahl ausfüllen'!E20)</f>
        <v/>
      </c>
      <c r="N11" s="78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</row>
    <row r="12" spans="1:59" ht="16.899999999999999" customHeight="1" thickBot="1" x14ac:dyDescent="0.25">
      <c r="A12" s="100"/>
      <c r="B12" s="223" t="s">
        <v>17</v>
      </c>
      <c r="C12" s="224"/>
      <c r="D12" s="102">
        <v>4</v>
      </c>
      <c r="E12" s="102" t="s">
        <v>18</v>
      </c>
      <c r="F12" s="102">
        <v>4</v>
      </c>
      <c r="G12" s="102">
        <v>4</v>
      </c>
      <c r="H12" s="102">
        <v>4</v>
      </c>
      <c r="I12" s="102">
        <v>4</v>
      </c>
      <c r="J12" s="103"/>
      <c r="K12" s="104"/>
      <c r="L12" s="134" t="s">
        <v>104</v>
      </c>
      <c r="M12" s="135" t="s">
        <v>18</v>
      </c>
      <c r="N12" s="78"/>
      <c r="O12" s="79"/>
      <c r="P12" s="79"/>
      <c r="Q12" s="85"/>
      <c r="R12" s="79"/>
      <c r="S12" s="79"/>
      <c r="T12" s="79"/>
      <c r="U12" s="79"/>
      <c r="V12" s="79"/>
      <c r="W12" s="79"/>
      <c r="X12" s="79"/>
      <c r="Y12" s="79"/>
      <c r="Z12" s="79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</row>
    <row r="13" spans="1:59" ht="16.899999999999999" customHeight="1" thickBot="1" x14ac:dyDescent="0.25">
      <c r="A13" s="100"/>
      <c r="B13" s="223" t="s">
        <v>19</v>
      </c>
      <c r="C13" s="224"/>
      <c r="D13" s="102">
        <v>4</v>
      </c>
      <c r="E13" s="102" t="s">
        <v>18</v>
      </c>
      <c r="F13" s="102">
        <v>4</v>
      </c>
      <c r="G13" s="102">
        <v>4</v>
      </c>
      <c r="H13" s="102">
        <v>4</v>
      </c>
      <c r="I13" s="102">
        <v>4</v>
      </c>
      <c r="J13" s="98"/>
      <c r="K13" s="99"/>
      <c r="L13" s="134" t="s">
        <v>105</v>
      </c>
      <c r="M13" s="135" t="s">
        <v>18</v>
      </c>
      <c r="N13" s="78"/>
      <c r="O13" s="79"/>
      <c r="P13" s="79"/>
      <c r="Q13" s="85"/>
      <c r="R13" s="79"/>
      <c r="S13" s="79"/>
      <c r="T13" s="79"/>
      <c r="U13" s="79"/>
      <c r="V13" s="79"/>
      <c r="W13" s="79"/>
      <c r="X13" s="79"/>
      <c r="Y13" s="79"/>
      <c r="Z13" s="79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</row>
    <row r="14" spans="1:59" ht="16.899999999999999" customHeight="1" thickBot="1" x14ac:dyDescent="0.25">
      <c r="A14" s="100"/>
      <c r="B14" s="223" t="s">
        <v>71</v>
      </c>
      <c r="C14" s="224"/>
      <c r="D14" s="102">
        <v>2</v>
      </c>
      <c r="E14" s="97" t="s">
        <v>127</v>
      </c>
      <c r="F14" s="102">
        <v>2</v>
      </c>
      <c r="G14" s="102">
        <v>2</v>
      </c>
      <c r="H14" s="102">
        <v>2</v>
      </c>
      <c r="I14" s="102">
        <v>2</v>
      </c>
      <c r="J14" s="98"/>
      <c r="K14" s="99"/>
      <c r="L14" s="134" t="s">
        <v>106</v>
      </c>
      <c r="M14" s="135" t="str">
        <f>IF('2. Wahl ausfüllen'!E21=0,"",'2. Wahl ausfüllen'!E21)</f>
        <v/>
      </c>
      <c r="N14" s="78"/>
      <c r="O14" s="79"/>
      <c r="P14" s="79"/>
      <c r="Q14" s="85"/>
      <c r="R14" s="79"/>
      <c r="S14" s="79"/>
      <c r="T14" s="79"/>
      <c r="U14" s="79"/>
      <c r="V14" s="79"/>
      <c r="W14" s="79"/>
      <c r="X14" s="79"/>
      <c r="Y14" s="79"/>
      <c r="Z14" s="79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</row>
    <row r="15" spans="1:59" ht="16.899999999999999" customHeight="1" thickBot="1" x14ac:dyDescent="0.25">
      <c r="A15" s="100"/>
      <c r="B15" s="223" t="s">
        <v>72</v>
      </c>
      <c r="C15" s="224"/>
      <c r="D15" s="102">
        <v>1</v>
      </c>
      <c r="E15" s="97" t="s">
        <v>127</v>
      </c>
      <c r="F15" s="102">
        <v>1</v>
      </c>
      <c r="G15" s="102">
        <v>1</v>
      </c>
      <c r="H15" s="102">
        <v>1</v>
      </c>
      <c r="I15" s="102">
        <v>1</v>
      </c>
      <c r="J15" s="98"/>
      <c r="K15" s="99"/>
      <c r="L15" s="136" t="s">
        <v>107</v>
      </c>
      <c r="M15" s="135" t="str">
        <f>IF('2. Wahl ausfüllen'!E22=0,"",'2. Wahl ausfüllen'!E22)</f>
        <v/>
      </c>
      <c r="N15" s="78"/>
      <c r="O15" s="79"/>
      <c r="P15" s="79"/>
      <c r="Q15" s="85"/>
      <c r="R15" s="85"/>
      <c r="S15" s="79"/>
      <c r="T15" s="79"/>
      <c r="V15" s="79"/>
      <c r="W15" s="79"/>
      <c r="X15" s="79"/>
      <c r="Y15" s="79"/>
      <c r="Z15" s="79"/>
      <c r="AA15" s="79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</row>
    <row r="16" spans="1:59" ht="16.899999999999999" customHeight="1" thickBot="1" x14ac:dyDescent="0.25">
      <c r="A16" s="100"/>
      <c r="B16" s="223" t="s">
        <v>24</v>
      </c>
      <c r="C16" s="224"/>
      <c r="D16" s="102">
        <v>2</v>
      </c>
      <c r="E16" s="97" t="s">
        <v>127</v>
      </c>
      <c r="F16" s="102">
        <v>2</v>
      </c>
      <c r="G16" s="102">
        <v>2</v>
      </c>
      <c r="H16" s="102">
        <v>2</v>
      </c>
      <c r="I16" s="102">
        <v>2</v>
      </c>
      <c r="J16" s="105"/>
      <c r="K16" s="106"/>
      <c r="L16" s="134" t="s">
        <v>110</v>
      </c>
      <c r="M16" s="135" t="str">
        <f>IF('2. Wahl ausfüllen'!E23=0,"",'2. Wahl ausfüllen'!E23)</f>
        <v/>
      </c>
      <c r="N16" s="78"/>
      <c r="O16" s="79"/>
      <c r="P16" s="79"/>
      <c r="Q16" s="85"/>
      <c r="R16" s="79"/>
      <c r="S16" s="79"/>
      <c r="T16" s="79"/>
      <c r="U16" s="79"/>
      <c r="V16" s="79"/>
      <c r="W16" s="79"/>
      <c r="X16" s="79"/>
      <c r="Y16" s="79"/>
      <c r="Z16" s="79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</row>
    <row r="17" spans="1:58" ht="7.9" customHeight="1" thickBot="1" x14ac:dyDescent="0.25">
      <c r="A17" s="107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37"/>
      <c r="M17" s="95"/>
      <c r="N17" s="78"/>
      <c r="O17" s="79"/>
      <c r="P17" s="79"/>
      <c r="Q17" s="85"/>
      <c r="R17" s="79"/>
      <c r="S17" s="79"/>
      <c r="T17" s="79"/>
      <c r="U17" s="79"/>
      <c r="V17" s="79"/>
      <c r="W17" s="79"/>
      <c r="X17" s="79"/>
      <c r="Y17" s="79"/>
      <c r="Z17" s="79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</row>
    <row r="18" spans="1:58" ht="16.899999999999999" customHeight="1" thickBot="1" x14ac:dyDescent="0.25">
      <c r="A18" s="174" t="s">
        <v>91</v>
      </c>
      <c r="B18" s="232" t="s">
        <v>93</v>
      </c>
      <c r="C18" s="233"/>
      <c r="D18" s="97">
        <v>4</v>
      </c>
      <c r="E18" s="102" t="s">
        <v>128</v>
      </c>
      <c r="F18" s="97" t="str">
        <f t="shared" ref="F18:G20" si="1">IF(OR($M18="S",$M18="C",$M18="X",$M18="A"),4,"")</f>
        <v/>
      </c>
      <c r="G18" s="97" t="str">
        <f t="shared" si="1"/>
        <v/>
      </c>
      <c r="H18" s="97" t="str">
        <f t="shared" ref="H18:I20" si="2">IF(OR($M18="S",$M18="C",$M18="X"),4,"")</f>
        <v/>
      </c>
      <c r="I18" s="97" t="str">
        <f t="shared" si="2"/>
        <v/>
      </c>
      <c r="J18" s="110"/>
      <c r="K18" s="24"/>
      <c r="L18" s="138" t="s">
        <v>111</v>
      </c>
      <c r="M18" s="135" t="str">
        <f>IF(AND('2. Wahl ausfüllen'!$B$26="E",'2. Wahl ausfüllen'!$E$26="S"),"S","")&amp;IF(AND('2. Wahl ausfüllen'!$B$26="E",'2. Wahl ausfüllen'!$E$26="C"),"C","")&amp;IF(AND('2. Wahl ausfüllen'!$B$28="E",'2. Wahl ausfüllen'!$E$28="S"),"S","")&amp;IF(AND('2. Wahl ausfüllen'!$B$28="E",'2. Wahl ausfüllen'!$E$28="C"),"C","")&amp;IF(AND('2. Wahl ausfüllen'!$B$28="E",'2. Wahl ausfüllen'!$E$28="X"),"X","")&amp;IF(AND('2. Wahl ausfüllen'!$B$28="E",'2. Wahl ausfüllen'!$E$28="A"),"A","")</f>
        <v/>
      </c>
      <c r="N18" s="78"/>
      <c r="O18" s="77"/>
      <c r="P18" s="79"/>
      <c r="Q18" s="77"/>
      <c r="R18" s="79"/>
      <c r="S18" s="79"/>
      <c r="T18" s="79"/>
      <c r="U18" s="79"/>
      <c r="V18" s="79"/>
      <c r="W18" s="79"/>
      <c r="X18" s="79"/>
      <c r="Y18" s="79"/>
      <c r="Z18" s="79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</row>
    <row r="19" spans="1:58" ht="16.899999999999999" customHeight="1" thickBot="1" x14ac:dyDescent="0.25">
      <c r="A19" s="100"/>
      <c r="B19" s="223" t="s">
        <v>94</v>
      </c>
      <c r="C19" s="224"/>
      <c r="D19" s="102">
        <v>4</v>
      </c>
      <c r="E19" s="102" t="s">
        <v>128</v>
      </c>
      <c r="F19" s="97" t="str">
        <f t="shared" si="1"/>
        <v/>
      </c>
      <c r="G19" s="97" t="str">
        <f t="shared" si="1"/>
        <v/>
      </c>
      <c r="H19" s="97" t="str">
        <f t="shared" si="2"/>
        <v/>
      </c>
      <c r="I19" s="97" t="str">
        <f t="shared" si="2"/>
        <v/>
      </c>
      <c r="J19" s="98"/>
      <c r="K19" s="99"/>
      <c r="L19" s="139" t="s">
        <v>112</v>
      </c>
      <c r="M19" s="135" t="str">
        <f>IF(AND('2. Wahl ausfüllen'!$B$26="F",'2. Wahl ausfüllen'!$E$26="S"),"S","")&amp;IF(AND('2. Wahl ausfüllen'!$B$26="F",'2. Wahl ausfüllen'!$E$26="C"),"C","")&amp;IF(AND('2. Wahl ausfüllen'!$B$28="F",'2. Wahl ausfüllen'!$E$28="S"),"S","")&amp;IF(AND('2. Wahl ausfüllen'!$B$28="F",'2. Wahl ausfüllen'!$E$28="C"),"C","")&amp;IF(AND('2. Wahl ausfüllen'!$B$28="F",'2. Wahl ausfüllen'!$E$28="X"),"X","")&amp;IF(AND('2. Wahl ausfüllen'!$B$28="F",'2. Wahl ausfüllen'!$E$28="A"),"A","")</f>
        <v/>
      </c>
      <c r="N19" s="78"/>
      <c r="O19" s="79"/>
      <c r="P19" s="79"/>
      <c r="Q19" s="85"/>
      <c r="R19" s="79"/>
      <c r="S19" s="79"/>
      <c r="T19" s="79"/>
      <c r="U19" s="79"/>
      <c r="V19" s="79"/>
      <c r="W19" s="79"/>
      <c r="X19" s="79"/>
      <c r="Y19" s="79"/>
      <c r="Z19" s="79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</row>
    <row r="20" spans="1:58" ht="16.899999999999999" customHeight="1" thickBot="1" x14ac:dyDescent="0.25">
      <c r="A20" s="100"/>
      <c r="B20" s="223" t="s">
        <v>95</v>
      </c>
      <c r="C20" s="224"/>
      <c r="D20" s="102">
        <v>4</v>
      </c>
      <c r="E20" s="102" t="s">
        <v>128</v>
      </c>
      <c r="F20" s="97" t="str">
        <f t="shared" si="1"/>
        <v/>
      </c>
      <c r="G20" s="97" t="str">
        <f t="shared" si="1"/>
        <v/>
      </c>
      <c r="H20" s="97" t="str">
        <f t="shared" si="2"/>
        <v/>
      </c>
      <c r="I20" s="97" t="str">
        <f t="shared" si="2"/>
        <v/>
      </c>
      <c r="J20" s="103"/>
      <c r="K20" s="104"/>
      <c r="L20" s="139" t="s">
        <v>113</v>
      </c>
      <c r="M20" s="135" t="str">
        <f>IF(AND('2. Wahl ausfüllen'!$B$26="L",'2. Wahl ausfüllen'!$E$26="S"),"S","")&amp;IF(AND('2. Wahl ausfüllen'!$B$26="L",'2. Wahl ausfüllen'!$E$26="C"),"C","")&amp;IF(AND('2. Wahl ausfüllen'!$B$28="L",'2. Wahl ausfüllen'!$E$28="S"),"S","")&amp;IF(AND('2. Wahl ausfüllen'!$B$28="L",'2. Wahl ausfüllen'!$E$28="C"),"C","")&amp;IF(AND('2. Wahl ausfüllen'!$B$28="L",'2. Wahl ausfüllen'!$E$28="X"),"X","")&amp;IF(AND('2. Wahl ausfüllen'!$B$28="L",'2. Wahl ausfüllen'!$E$28="A"),"A","")</f>
        <v/>
      </c>
      <c r="N20" s="78"/>
      <c r="O20" s="79"/>
      <c r="P20" s="79"/>
      <c r="Q20" s="85"/>
      <c r="R20" s="79"/>
      <c r="S20" s="79"/>
      <c r="T20" s="79"/>
      <c r="U20" s="79"/>
      <c r="V20" s="79"/>
      <c r="W20" s="79"/>
      <c r="X20" s="79"/>
      <c r="Y20" s="79"/>
      <c r="Z20" s="79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</row>
    <row r="21" spans="1:58" ht="16.899999999999999" customHeight="1" thickBot="1" x14ac:dyDescent="0.25">
      <c r="A21" s="100"/>
      <c r="B21" s="223" t="str">
        <f>"spätbeg. FS "&amp;'2. Wahl ausfüllen'!B30</f>
        <v>spätbeg. FS -</v>
      </c>
      <c r="C21" s="224"/>
      <c r="D21" s="102">
        <v>3</v>
      </c>
      <c r="E21" s="102" t="s">
        <v>129</v>
      </c>
      <c r="F21" s="97" t="str">
        <f>IF(OR($M21="C",$M21="X"),3,"")</f>
        <v/>
      </c>
      <c r="G21" s="97" t="str">
        <f>IF(OR($M21="C",$M21="X"),3,"")</f>
        <v/>
      </c>
      <c r="H21" s="97" t="str">
        <f>IF(OR($M21="C",$M21="X"),3,"")</f>
        <v/>
      </c>
      <c r="I21" s="97" t="str">
        <f>IF(OR($M21="C",$M21="X"),3,"")</f>
        <v/>
      </c>
      <c r="J21" s="98"/>
      <c r="K21" s="99"/>
      <c r="L21" s="139" t="str">
        <f>'2. Wahl ausfüllen'!M30</f>
        <v/>
      </c>
      <c r="M21" s="135" t="str">
        <f>IF('2. Wahl ausfüllen'!E30=0,"",'2. Wahl ausfüllen'!E30)</f>
        <v/>
      </c>
      <c r="N21" s="78"/>
      <c r="O21" s="79"/>
      <c r="P21" s="79"/>
      <c r="Q21" s="85"/>
      <c r="R21" s="79"/>
      <c r="S21" s="79"/>
      <c r="T21" s="79"/>
      <c r="U21" s="79"/>
      <c r="V21" s="79"/>
      <c r="W21" s="79"/>
      <c r="X21" s="79"/>
      <c r="Y21" s="79"/>
      <c r="Z21" s="79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</row>
    <row r="22" spans="1:58" ht="16.899999999999999" customHeight="1" thickBot="1" x14ac:dyDescent="0.25">
      <c r="A22" s="100"/>
      <c r="B22" s="223" t="s">
        <v>96</v>
      </c>
      <c r="C22" s="224"/>
      <c r="D22" s="102">
        <v>3</v>
      </c>
      <c r="E22" s="102" t="s">
        <v>128</v>
      </c>
      <c r="F22" s="97" t="str">
        <f t="shared" ref="F22:G24" si="3">IF(OR($M22="S",$M22="C",$M22="X",$M22="A"),3,"")</f>
        <v/>
      </c>
      <c r="G22" s="97" t="str">
        <f t="shared" si="3"/>
        <v/>
      </c>
      <c r="H22" s="97" t="str">
        <f t="shared" ref="H22:I25" si="4">IF(OR($M22="S",$M22="C",$M22="X"),3,"")</f>
        <v/>
      </c>
      <c r="I22" s="97" t="str">
        <f t="shared" si="4"/>
        <v/>
      </c>
      <c r="J22" s="110"/>
      <c r="K22" s="24"/>
      <c r="L22" s="139" t="s">
        <v>48</v>
      </c>
      <c r="M22" s="135" t="str">
        <f>IF(AND('2. Wahl ausfüllen'!$B$27="B",'2. Wahl ausfüllen'!$E$27="S"),"S","")&amp;IF(AND('2. Wahl ausfüllen'!$B$27="B",'2. Wahl ausfüllen'!$E$27="C"),"C","")&amp;IF(AND('2. Wahl ausfüllen'!$B$27="B",'2. Wahl ausfüllen'!$E$27="X"),"X","")&amp;IF(AND('2. Wahl ausfüllen'!$B$29="B",'2. Wahl ausfüllen'!$E$29="S"),"S","")&amp;IF(AND('2. Wahl ausfüllen'!$B$29="B",'2. Wahl ausfüllen'!$E$29="C"),"C","")&amp;IF(AND('2. Wahl ausfüllen'!$B$29="B",'2. Wahl ausfüllen'!$E$29="X"),"X","")&amp;IF(AND('2. Wahl ausfüllen'!$B$29="B",'2. Wahl ausfüllen'!$E$29="A"),"A","")</f>
        <v/>
      </c>
      <c r="N22" s="78"/>
      <c r="O22" s="77"/>
      <c r="P22" s="79"/>
      <c r="Q22" s="85"/>
      <c r="R22" s="79"/>
      <c r="S22" s="79"/>
      <c r="T22" s="79"/>
      <c r="U22" s="79"/>
      <c r="V22" s="79"/>
      <c r="W22" s="79"/>
      <c r="X22" s="79"/>
      <c r="Y22" s="79"/>
      <c r="Z22" s="79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</row>
    <row r="23" spans="1:58" ht="16.899999999999999" customHeight="1" thickBot="1" x14ac:dyDescent="0.25">
      <c r="A23" s="100"/>
      <c r="B23" s="223" t="s">
        <v>114</v>
      </c>
      <c r="C23" s="224"/>
      <c r="D23" s="102">
        <v>3</v>
      </c>
      <c r="E23" s="102" t="s">
        <v>128</v>
      </c>
      <c r="F23" s="97" t="str">
        <f t="shared" si="3"/>
        <v/>
      </c>
      <c r="G23" s="97" t="str">
        <f t="shared" si="3"/>
        <v/>
      </c>
      <c r="H23" s="97" t="str">
        <f t="shared" si="4"/>
        <v/>
      </c>
      <c r="I23" s="97" t="str">
        <f t="shared" si="4"/>
        <v/>
      </c>
      <c r="J23" s="110"/>
      <c r="K23" s="24"/>
      <c r="L23" s="139" t="s">
        <v>135</v>
      </c>
      <c r="M23" s="135" t="str">
        <f>IF(AND('2. Wahl ausfüllen'!$B$27="Ch",'2. Wahl ausfüllen'!$E$27="S"),"S","")&amp;IF(AND('2. Wahl ausfüllen'!$B$27="Ch",'2. Wahl ausfüllen'!$E$27="C"),"C","")&amp;IF(AND('2. Wahl ausfüllen'!$B$27="Ch",'2. Wahl ausfüllen'!$E$27="X"),"X","")&amp;IF(AND('2. Wahl ausfüllen'!$B$29="Ch",'2. Wahl ausfüllen'!$E$29="S"),"S","")&amp;IF(AND('2. Wahl ausfüllen'!$B$29="Ch",'2. Wahl ausfüllen'!$E$29="C"),"C","")&amp;IF(AND('2. Wahl ausfüllen'!$B$29="Ch",'2. Wahl ausfüllen'!$E$29="X"),"X","")&amp;IF(AND('2. Wahl ausfüllen'!$B$29="Ch",'2. Wahl ausfüllen'!$E$29="A"),"A","")</f>
        <v/>
      </c>
      <c r="N23" s="78"/>
      <c r="O23" s="79"/>
      <c r="P23" s="79"/>
      <c r="Q23" s="85"/>
      <c r="R23" s="79"/>
      <c r="S23" s="79"/>
      <c r="T23" s="79"/>
      <c r="U23" s="79"/>
      <c r="V23" s="79"/>
      <c r="W23" s="79"/>
      <c r="X23" s="79"/>
      <c r="Y23" s="79"/>
      <c r="Z23" s="79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</row>
    <row r="24" spans="1:58" ht="16.899999999999999" customHeight="1" thickBot="1" x14ac:dyDescent="0.25">
      <c r="A24" s="100"/>
      <c r="B24" s="223" t="s">
        <v>97</v>
      </c>
      <c r="C24" s="224"/>
      <c r="D24" s="102">
        <v>3</v>
      </c>
      <c r="E24" s="102" t="s">
        <v>128</v>
      </c>
      <c r="F24" s="97" t="str">
        <f t="shared" si="3"/>
        <v/>
      </c>
      <c r="G24" s="97" t="str">
        <f t="shared" si="3"/>
        <v/>
      </c>
      <c r="H24" s="97" t="str">
        <f t="shared" si="4"/>
        <v/>
      </c>
      <c r="I24" s="97" t="str">
        <f t="shared" si="4"/>
        <v/>
      </c>
      <c r="J24" s="97" t="str">
        <f>IF(OR($M24="S",$M24="C",$M24="X"),"3","")</f>
        <v/>
      </c>
      <c r="K24" s="97" t="str">
        <f>IF(OR($M24="S",$M24="C",$M24="X"),"3","")</f>
        <v/>
      </c>
      <c r="L24" s="139" t="s">
        <v>115</v>
      </c>
      <c r="M24" s="135" t="str">
        <f>IF(AND('2. Wahl ausfüllen'!$B$27="Ph",'2. Wahl ausfüllen'!$E$27="S"),"S","")&amp;IF(AND('2. Wahl ausfüllen'!$B$27="Ph",'2. Wahl ausfüllen'!$E$27="C"),"C","")&amp;IF(AND('2. Wahl ausfüllen'!$B$27="Ph",'2. Wahl ausfüllen'!$E$27="X"),"X","")&amp;IF(AND('2. Wahl ausfüllen'!$B$29="Ph",'2. Wahl ausfüllen'!$E$29="S"),"S","")&amp;IF(AND('2. Wahl ausfüllen'!$B$29="Ph",'2. Wahl ausfüllen'!$E$29="C"),"C","")&amp;IF(AND('2. Wahl ausfüllen'!$B$29="Ph",'2. Wahl ausfüllen'!$E$29="X"),"X","")&amp;IF(AND('2. Wahl ausfüllen'!$B$29="Ph",'2. Wahl ausfüllen'!$E$29="A"),"A","")</f>
        <v/>
      </c>
      <c r="N24" s="78"/>
      <c r="O24" s="79"/>
      <c r="P24" s="79"/>
      <c r="Q24" s="85"/>
      <c r="R24" s="79"/>
      <c r="S24" s="79"/>
      <c r="T24" s="79"/>
      <c r="U24" s="79"/>
      <c r="V24" s="79"/>
      <c r="W24" s="79"/>
      <c r="X24" s="79"/>
      <c r="Y24" s="79"/>
      <c r="Z24" s="79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</row>
    <row r="25" spans="1:58" ht="16.899999999999999" customHeight="1" thickBot="1" x14ac:dyDescent="0.25">
      <c r="A25" s="100"/>
      <c r="B25" s="223" t="s">
        <v>98</v>
      </c>
      <c r="C25" s="224"/>
      <c r="D25" s="102">
        <v>3</v>
      </c>
      <c r="E25" s="102" t="s">
        <v>128</v>
      </c>
      <c r="F25" s="97" t="str">
        <f>IF(OR($M25="S",$M25="C",$M25="X",$M25="A"),3,"")</f>
        <v/>
      </c>
      <c r="G25" s="97" t="str">
        <f>IF(OR($M25="S",$M25="C",$M25="X",$M25="A"),3,"")</f>
        <v/>
      </c>
      <c r="H25" s="97" t="str">
        <f t="shared" si="4"/>
        <v/>
      </c>
      <c r="I25" s="97" t="str">
        <f t="shared" si="4"/>
        <v/>
      </c>
      <c r="J25" s="110"/>
      <c r="K25" s="24"/>
      <c r="L25" s="139" t="s">
        <v>116</v>
      </c>
      <c r="M25" s="135" t="str">
        <f>IF(AND('2. Wahl ausfüllen'!$B$29="Inf",'2. Wahl ausfüllen'!$E$29="S"),"S","")&amp;IF(AND('2. Wahl ausfüllen'!$B$29="Inf",'2. Wahl ausfüllen'!$E$29="C"),"C","")&amp;IF(AND('2. Wahl ausfüllen'!$B$29="Inf",'2. Wahl ausfüllen'!$E$29="X"),"X","")&amp;IF(AND('2. Wahl ausfüllen'!$B$29="Inf",'2. Wahl ausfüllen'!$E$29="A"),"A","")</f>
        <v/>
      </c>
      <c r="N25" s="78"/>
      <c r="O25" s="79"/>
      <c r="P25" s="79"/>
      <c r="Q25" s="85"/>
      <c r="R25" s="79"/>
      <c r="S25" s="79"/>
      <c r="T25" s="79"/>
      <c r="U25" s="79"/>
      <c r="V25" s="79"/>
      <c r="W25" s="79"/>
      <c r="X25" s="79"/>
      <c r="Y25" s="79"/>
      <c r="Z25" s="79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</row>
    <row r="26" spans="1:58" ht="16.899999999999999" customHeight="1" thickBot="1" x14ac:dyDescent="0.25">
      <c r="A26" s="100"/>
      <c r="B26" s="223" t="s">
        <v>99</v>
      </c>
      <c r="C26" s="224"/>
      <c r="D26" s="102">
        <v>2</v>
      </c>
      <c r="E26" s="102" t="s">
        <v>128</v>
      </c>
      <c r="F26" s="97" t="str">
        <f t="shared" ref="F26:G29" si="5">IF(OR($M26="S",$M26="C",$M26="X",$M26="A"),2,"")</f>
        <v/>
      </c>
      <c r="G26" s="97" t="str">
        <f t="shared" si="5"/>
        <v/>
      </c>
      <c r="H26" s="97" t="str">
        <f t="shared" ref="H26:I29" si="6">IF(OR($M26="S",$M26="C",$M26="X"),2,"")</f>
        <v/>
      </c>
      <c r="I26" s="97" t="str">
        <f t="shared" si="6"/>
        <v/>
      </c>
      <c r="J26" s="110"/>
      <c r="K26" s="24"/>
      <c r="L26" s="139" t="s">
        <v>117</v>
      </c>
      <c r="M26" s="135" t="str">
        <f>IF('2. Wahl ausfüllen'!E31=0,"",'2. Wahl ausfüllen'!E31)</f>
        <v/>
      </c>
      <c r="N26" s="78"/>
      <c r="O26" s="79"/>
      <c r="P26" s="79"/>
      <c r="Q26" s="85"/>
      <c r="R26" s="79"/>
      <c r="S26" s="79"/>
      <c r="T26" s="79"/>
      <c r="U26" s="79"/>
      <c r="V26" s="79"/>
      <c r="W26" s="79"/>
      <c r="X26" s="79"/>
      <c r="Y26" s="79"/>
      <c r="Z26" s="79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</row>
    <row r="27" spans="1:58" ht="16.899999999999999" customHeight="1" thickBot="1" x14ac:dyDescent="0.25">
      <c r="A27" s="100"/>
      <c r="B27" s="223" t="s">
        <v>100</v>
      </c>
      <c r="C27" s="224"/>
      <c r="D27" s="102">
        <v>2</v>
      </c>
      <c r="E27" s="102" t="s">
        <v>128</v>
      </c>
      <c r="F27" s="97" t="str">
        <f t="shared" si="5"/>
        <v/>
      </c>
      <c r="G27" s="97" t="str">
        <f t="shared" si="5"/>
        <v/>
      </c>
      <c r="H27" s="97" t="str">
        <f t="shared" si="6"/>
        <v/>
      </c>
      <c r="I27" s="97" t="str">
        <f t="shared" si="6"/>
        <v/>
      </c>
      <c r="J27" s="97" t="str">
        <f>IF(OR($M27="S",$M27="C",$M27="X"),2,"")</f>
        <v/>
      </c>
      <c r="K27" s="97" t="str">
        <f>IF(OR($M27="S",$M27="C",$M27="X"),2,"")</f>
        <v/>
      </c>
      <c r="L27" s="139" t="s">
        <v>118</v>
      </c>
      <c r="M27" s="135" t="str">
        <f>IF('2. Wahl ausfüllen'!E32=0,"",'2. Wahl ausfüllen'!E32)</f>
        <v/>
      </c>
      <c r="N27" s="78"/>
      <c r="O27" s="79"/>
      <c r="P27" s="79"/>
      <c r="Q27" s="85"/>
      <c r="R27" s="79"/>
      <c r="S27" s="79"/>
      <c r="T27" s="79"/>
      <c r="U27" s="79"/>
      <c r="V27" s="79"/>
      <c r="W27" s="79"/>
      <c r="X27" s="79"/>
      <c r="Y27" s="79"/>
      <c r="Z27" s="79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</row>
    <row r="28" spans="1:58" ht="16.899999999999999" customHeight="1" thickBot="1" x14ac:dyDescent="0.25">
      <c r="A28" s="100"/>
      <c r="B28" s="223" t="s">
        <v>32</v>
      </c>
      <c r="C28" s="224"/>
      <c r="D28" s="102">
        <v>2</v>
      </c>
      <c r="E28" s="102" t="s">
        <v>128</v>
      </c>
      <c r="F28" s="97" t="str">
        <f t="shared" si="5"/>
        <v/>
      </c>
      <c r="G28" s="97" t="str">
        <f t="shared" si="5"/>
        <v/>
      </c>
      <c r="H28" s="97" t="str">
        <f t="shared" si="6"/>
        <v/>
      </c>
      <c r="I28" s="97" t="str">
        <f t="shared" si="6"/>
        <v/>
      </c>
      <c r="J28" s="103" t="e">
        <f>IF(OR(#REF!="S",#REF!="C"),3,0)+IF(#REF!="X",2,0)+IF(OR(#REF!="A",#REF!="B"),1,0)</f>
        <v>#REF!</v>
      </c>
      <c r="K28" s="104" t="e">
        <f>IF(J28=3,4,0)+IF(J28=2,3,0)+IF(J28=1,0,0)</f>
        <v>#REF!</v>
      </c>
      <c r="L28" s="139" t="s">
        <v>119</v>
      </c>
      <c r="M28" s="135" t="str">
        <f>IF('2. Wahl ausfüllen'!E33=0,"",'2. Wahl ausfüllen'!E33)</f>
        <v/>
      </c>
      <c r="N28" s="78"/>
      <c r="O28" s="79"/>
      <c r="P28" s="79"/>
      <c r="Q28" s="85"/>
      <c r="R28" s="79"/>
      <c r="S28" s="79"/>
      <c r="T28" s="79"/>
      <c r="U28" s="79"/>
      <c r="V28" s="79"/>
      <c r="W28" s="79"/>
      <c r="X28" s="79"/>
      <c r="Y28" s="79"/>
      <c r="Z28" s="79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</row>
    <row r="29" spans="1:58" ht="16.899999999999999" customHeight="1" thickBot="1" x14ac:dyDescent="0.25">
      <c r="A29" s="100"/>
      <c r="B29" s="223" t="s">
        <v>33</v>
      </c>
      <c r="C29" s="224"/>
      <c r="D29" s="102">
        <v>2</v>
      </c>
      <c r="E29" s="102" t="s">
        <v>128</v>
      </c>
      <c r="F29" s="97" t="str">
        <f t="shared" si="5"/>
        <v/>
      </c>
      <c r="G29" s="97" t="str">
        <f t="shared" si="5"/>
        <v/>
      </c>
      <c r="H29" s="97" t="str">
        <f t="shared" si="6"/>
        <v/>
      </c>
      <c r="I29" s="97" t="str">
        <f t="shared" si="6"/>
        <v/>
      </c>
      <c r="J29" s="105" t="e">
        <f>IF(OR(#REF!="S",#REF!="C"),3,0)+IF(#REF!="X",2,0)+IF(OR(#REF!="A",#REF!="B"),1,0)</f>
        <v>#REF!</v>
      </c>
      <c r="K29" s="106" t="e">
        <f>IF(J29=3,4,0)+IF(J29=2,3,0)+IF(J29=1,0,0)</f>
        <v>#REF!</v>
      </c>
      <c r="L29" s="139" t="s">
        <v>120</v>
      </c>
      <c r="M29" s="135" t="str">
        <f>IF('2. Wahl ausfüllen'!E34=0,"",'2. Wahl ausfüllen'!E34)</f>
        <v/>
      </c>
      <c r="N29" s="78"/>
      <c r="O29" s="79"/>
      <c r="P29" s="79"/>
      <c r="Q29" s="85"/>
      <c r="R29" s="79"/>
      <c r="S29" s="79"/>
      <c r="T29" s="79"/>
      <c r="U29" s="79"/>
      <c r="V29" s="79"/>
      <c r="W29" s="79"/>
      <c r="X29" s="79"/>
      <c r="Y29" s="79"/>
      <c r="Z29" s="79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</row>
    <row r="30" spans="1:58" ht="7.9" customHeight="1" thickBot="1" x14ac:dyDescent="0.25">
      <c r="A30" s="107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37"/>
      <c r="M30" s="140"/>
      <c r="N30" s="78"/>
      <c r="O30" s="79"/>
      <c r="P30" s="79"/>
      <c r="Q30" s="85"/>
      <c r="R30" s="79"/>
      <c r="S30" s="79"/>
      <c r="T30" s="79"/>
      <c r="U30" s="79"/>
      <c r="V30" s="79"/>
      <c r="W30" s="79"/>
      <c r="X30" s="79"/>
      <c r="Y30" s="79"/>
      <c r="Z30" s="79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</row>
    <row r="31" spans="1:58" ht="16.899999999999999" customHeight="1" thickBot="1" x14ac:dyDescent="0.25">
      <c r="A31" s="96" t="s">
        <v>92</v>
      </c>
      <c r="B31" s="232" t="str">
        <f>IF('2. Wahl ausfüllen'!B44="","",'2. Wahl ausfüllen'!B44&amp;" / ("&amp;'2. Wahl ausfüllen'!M45&amp;")")</f>
        <v/>
      </c>
      <c r="C31" s="233"/>
      <c r="D31" s="102">
        <v>2</v>
      </c>
      <c r="E31" s="102" t="s">
        <v>168</v>
      </c>
      <c r="F31" s="97" t="str">
        <f t="shared" ref="F31:G33" si="7">IF(OR($M31="X",$M31="A"),2,"")</f>
        <v/>
      </c>
      <c r="G31" s="97" t="str">
        <f t="shared" si="7"/>
        <v/>
      </c>
      <c r="H31" s="97" t="str">
        <f t="shared" ref="H31:I33" si="8">IF(OR($M31="X",$M31="B"),2,"")</f>
        <v/>
      </c>
      <c r="I31" s="97" t="str">
        <f t="shared" si="8"/>
        <v/>
      </c>
      <c r="J31" s="103"/>
      <c r="K31" s="104"/>
      <c r="L31" s="138" t="str">
        <f>'2. Wahl ausfüllen'!M44</f>
        <v/>
      </c>
      <c r="M31" s="135" t="str">
        <f>IF('2. Wahl ausfüllen'!E44=0,"",'2. Wahl ausfüllen'!E44)</f>
        <v/>
      </c>
      <c r="N31" s="78"/>
      <c r="O31" s="79"/>
      <c r="P31" s="79"/>
      <c r="Q31" s="85"/>
      <c r="R31" s="79"/>
      <c r="S31" s="79"/>
      <c r="T31" s="79"/>
      <c r="U31" s="79"/>
      <c r="V31" s="79"/>
      <c r="W31" s="79"/>
      <c r="X31" s="79"/>
      <c r="Y31" s="79"/>
      <c r="Z31" s="79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</row>
    <row r="32" spans="1:58" ht="16.899999999999999" customHeight="1" thickBot="1" x14ac:dyDescent="0.25">
      <c r="A32" s="100"/>
      <c r="B32" s="232" t="str">
        <f>IF('2. Wahl ausfüllen'!B46="","",'2. Wahl ausfüllen'!B46&amp;" / ("&amp;'2. Wahl ausfüllen'!M47&amp;")")</f>
        <v/>
      </c>
      <c r="C32" s="233"/>
      <c r="D32" s="102">
        <v>2</v>
      </c>
      <c r="E32" s="102" t="s">
        <v>168</v>
      </c>
      <c r="F32" s="97" t="str">
        <f t="shared" si="7"/>
        <v/>
      </c>
      <c r="G32" s="97" t="str">
        <f t="shared" si="7"/>
        <v/>
      </c>
      <c r="H32" s="97" t="str">
        <f t="shared" si="8"/>
        <v/>
      </c>
      <c r="I32" s="97" t="str">
        <f t="shared" si="8"/>
        <v/>
      </c>
      <c r="J32" s="98"/>
      <c r="K32" s="99"/>
      <c r="L32" s="139" t="str">
        <f>'2. Wahl ausfüllen'!M46</f>
        <v/>
      </c>
      <c r="M32" s="135" t="str">
        <f>IF('2. Wahl ausfüllen'!E46=0,"",'2. Wahl ausfüllen'!E46)</f>
        <v/>
      </c>
      <c r="N32" s="78"/>
      <c r="O32" s="82"/>
      <c r="P32" s="79"/>
      <c r="Q32" s="85"/>
      <c r="R32" s="79"/>
      <c r="S32" s="79"/>
      <c r="T32" s="79"/>
      <c r="U32" s="79"/>
      <c r="V32" s="79"/>
      <c r="W32" s="79"/>
      <c r="X32" s="79"/>
      <c r="Y32" s="79"/>
      <c r="Z32" s="79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</row>
    <row r="33" spans="1:58" ht="16.899999999999999" customHeight="1" thickBot="1" x14ac:dyDescent="0.25">
      <c r="A33" s="100"/>
      <c r="B33" s="232" t="str">
        <f>IF('2. Wahl ausfüllen'!B48="","",'2. Wahl ausfüllen'!B48&amp;" / ("&amp;'2. Wahl ausfüllen'!M49&amp;")")</f>
        <v/>
      </c>
      <c r="C33" s="233"/>
      <c r="D33" s="102">
        <v>2</v>
      </c>
      <c r="E33" s="102" t="s">
        <v>168</v>
      </c>
      <c r="F33" s="97" t="str">
        <f t="shared" si="7"/>
        <v/>
      </c>
      <c r="G33" s="97" t="str">
        <f t="shared" si="7"/>
        <v/>
      </c>
      <c r="H33" s="97" t="str">
        <f t="shared" si="8"/>
        <v/>
      </c>
      <c r="I33" s="97" t="str">
        <f t="shared" si="8"/>
        <v/>
      </c>
      <c r="J33" s="103"/>
      <c r="K33" s="104"/>
      <c r="L33" s="139" t="str">
        <f>'2. Wahl ausfüllen'!M48</f>
        <v/>
      </c>
      <c r="M33" s="135" t="str">
        <f>IF('2. Wahl ausfüllen'!E48=0,"",'2. Wahl ausfüllen'!E48)</f>
        <v/>
      </c>
      <c r="N33" s="78"/>
      <c r="O33" s="79"/>
      <c r="P33" s="79"/>
      <c r="Q33" s="85"/>
      <c r="R33" s="79"/>
      <c r="S33" s="79"/>
      <c r="T33" s="79"/>
      <c r="U33" s="79"/>
      <c r="V33" s="79"/>
      <c r="W33" s="79"/>
      <c r="X33" s="79"/>
      <c r="Y33" s="79"/>
      <c r="Z33" s="79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</row>
    <row r="34" spans="1:58" ht="16.899999999999999" customHeight="1" thickBot="1" x14ac:dyDescent="0.25">
      <c r="A34" s="100"/>
      <c r="B34" s="223" t="s">
        <v>132</v>
      </c>
      <c r="C34" s="224"/>
      <c r="D34" s="102">
        <v>2</v>
      </c>
      <c r="E34" s="102" t="s">
        <v>133</v>
      </c>
      <c r="F34" s="97" t="str">
        <f>IF($M34="X",2,"")</f>
        <v/>
      </c>
      <c r="G34" s="97" t="str">
        <f>IF($M34="X",2,"")</f>
        <v/>
      </c>
      <c r="H34" s="97" t="str">
        <f>IF($M34="X",2,"")</f>
        <v/>
      </c>
      <c r="I34" s="97" t="str">
        <f>IF($M34="X",2,"")</f>
        <v/>
      </c>
      <c r="J34" s="110"/>
      <c r="K34" s="24"/>
      <c r="L34" s="139" t="s">
        <v>121</v>
      </c>
      <c r="M34" s="135" t="str">
        <f>IF('2. Wahl ausfüllen'!E42=0,"",'2. Wahl ausfüllen'!E42)</f>
        <v/>
      </c>
      <c r="N34" s="78"/>
      <c r="O34" s="79"/>
      <c r="P34" s="79"/>
      <c r="Q34" s="85"/>
      <c r="R34" s="79"/>
      <c r="S34" s="79"/>
      <c r="T34" s="79"/>
      <c r="U34" s="79"/>
      <c r="V34" s="79"/>
      <c r="W34" s="79"/>
      <c r="X34" s="79"/>
      <c r="Y34" s="79"/>
      <c r="Z34" s="112"/>
      <c r="AA34" s="113"/>
      <c r="AB34" s="113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</row>
    <row r="35" spans="1:58" ht="16.899999999999999" customHeight="1" thickBot="1" x14ac:dyDescent="0.25">
      <c r="A35" s="100"/>
      <c r="B35" s="223" t="s">
        <v>131</v>
      </c>
      <c r="C35" s="224"/>
      <c r="D35" s="114">
        <v>1</v>
      </c>
      <c r="E35" s="102" t="s">
        <v>133</v>
      </c>
      <c r="F35" s="97" t="str">
        <f>IF($M35="X",1,"")</f>
        <v/>
      </c>
      <c r="G35" s="97" t="str">
        <f>IF($M35="X",1,"")</f>
        <v/>
      </c>
      <c r="H35" s="97" t="str">
        <f>IF($M35="X",1,"")</f>
        <v/>
      </c>
      <c r="I35" s="97" t="str">
        <f>IF($M35="X",1,"")</f>
        <v/>
      </c>
      <c r="J35" s="110"/>
      <c r="K35" s="24"/>
      <c r="L35" s="139" t="s">
        <v>122</v>
      </c>
      <c r="M35" s="135" t="str">
        <f>IF('2. Wahl ausfüllen'!E41=0,"",'2. Wahl ausfüllen'!E41)</f>
        <v/>
      </c>
      <c r="N35" s="78"/>
      <c r="O35" s="79"/>
      <c r="P35" s="79"/>
      <c r="Q35" s="85"/>
      <c r="R35" s="79"/>
      <c r="S35" s="79"/>
      <c r="T35" s="79"/>
      <c r="U35" s="79"/>
      <c r="V35" s="79"/>
      <c r="W35" s="79"/>
      <c r="X35" s="79"/>
      <c r="Y35" s="79"/>
      <c r="Z35" s="79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</row>
    <row r="36" spans="1:58" ht="16.899999999999999" customHeight="1" thickBot="1" x14ac:dyDescent="0.25">
      <c r="A36" s="100"/>
      <c r="B36" s="115" t="s">
        <v>130</v>
      </c>
      <c r="C36" s="101"/>
      <c r="D36" s="114">
        <v>2</v>
      </c>
      <c r="E36" s="102" t="s">
        <v>133</v>
      </c>
      <c r="F36" s="97" t="str">
        <f>IF($M36="X",2,"")</f>
        <v/>
      </c>
      <c r="G36" s="97" t="str">
        <f>IF($M36="X",2,"")</f>
        <v/>
      </c>
      <c r="H36" s="97" t="str">
        <f>IF($M36="X",2,"")</f>
        <v/>
      </c>
      <c r="I36" s="97" t="str">
        <f>IF($M36="X",2,"")</f>
        <v/>
      </c>
      <c r="J36" s="102"/>
      <c r="K36" s="129"/>
      <c r="L36" s="139" t="s">
        <v>134</v>
      </c>
      <c r="M36" s="140" t="str">
        <f>IF('2. Wahl ausfüllen'!E43=0,"",'2. Wahl ausfüllen'!E43)</f>
        <v/>
      </c>
      <c r="N36" s="78"/>
      <c r="O36" s="79"/>
      <c r="P36" s="79"/>
      <c r="Q36" s="85"/>
      <c r="R36" s="79"/>
      <c r="S36" s="79"/>
      <c r="T36" s="79"/>
      <c r="U36" s="79"/>
      <c r="V36" s="79"/>
      <c r="W36" s="79"/>
      <c r="X36" s="79"/>
      <c r="Y36" s="79"/>
      <c r="Z36" s="79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</row>
    <row r="37" spans="1:58" ht="7.9" customHeight="1" thickBot="1" x14ac:dyDescent="0.25">
      <c r="A37" s="100"/>
      <c r="B37" s="115"/>
      <c r="C37" s="101"/>
      <c r="D37" s="116"/>
      <c r="E37" s="130"/>
      <c r="F37" s="130"/>
      <c r="G37" s="130"/>
      <c r="H37" s="130"/>
      <c r="I37" s="130"/>
      <c r="J37" s="84"/>
      <c r="K37" s="84"/>
      <c r="L37" s="130"/>
      <c r="M37" s="111"/>
      <c r="N37" s="78"/>
      <c r="O37" s="79"/>
      <c r="P37" s="79"/>
      <c r="Q37" s="85"/>
      <c r="R37" s="79"/>
      <c r="S37" s="79"/>
      <c r="T37" s="79"/>
      <c r="U37" s="79"/>
      <c r="V37" s="79"/>
      <c r="W37" s="79"/>
      <c r="X37" s="79"/>
      <c r="Y37" s="79"/>
      <c r="Z37" s="79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</row>
    <row r="38" spans="1:58" ht="16.899999999999999" customHeight="1" thickBot="1" x14ac:dyDescent="0.25">
      <c r="A38" s="100"/>
      <c r="B38" s="223" t="str">
        <f>"W-Sem: "&amp;'2. Wahl ausfüllen'!B37&amp;" / "&amp;'2. Wahl ausfüllen'!B38</f>
        <v xml:space="preserve">W-Sem:  / </v>
      </c>
      <c r="C38" s="223"/>
      <c r="D38" s="223"/>
      <c r="E38" s="248"/>
      <c r="F38" s="97">
        <v>2</v>
      </c>
      <c r="G38" s="97">
        <v>2</v>
      </c>
      <c r="H38" s="97">
        <v>2</v>
      </c>
      <c r="I38" s="117" t="s">
        <v>125</v>
      </c>
      <c r="J38" s="110"/>
      <c r="K38" s="24"/>
      <c r="L38" s="131" t="s">
        <v>123</v>
      </c>
      <c r="M38" s="118" t="s">
        <v>126</v>
      </c>
      <c r="N38" s="78"/>
      <c r="O38" s="79"/>
      <c r="P38" s="79"/>
      <c r="Q38" s="85"/>
      <c r="R38" s="79"/>
      <c r="S38" s="79"/>
      <c r="T38" s="79"/>
      <c r="U38" s="79"/>
      <c r="V38" s="79"/>
      <c r="W38" s="79"/>
      <c r="X38" s="79"/>
      <c r="Y38" s="79"/>
      <c r="Z38" s="119"/>
      <c r="AA38" s="113"/>
      <c r="AB38" s="113"/>
      <c r="AC38" s="113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</row>
    <row r="39" spans="1:58" ht="16.899999999999999" customHeight="1" thickBot="1" x14ac:dyDescent="0.25">
      <c r="A39" s="89"/>
      <c r="B39" s="249" t="str">
        <f>"P-Sem: "&amp;'2. Wahl ausfüllen'!B39&amp;" / "&amp;'2. Wahl ausfüllen'!B40</f>
        <v xml:space="preserve">P-Sem:  / </v>
      </c>
      <c r="C39" s="249"/>
      <c r="D39" s="249"/>
      <c r="E39" s="250"/>
      <c r="F39" s="120">
        <v>2</v>
      </c>
      <c r="G39" s="120">
        <v>2</v>
      </c>
      <c r="H39" s="120">
        <v>2</v>
      </c>
      <c r="I39" s="121" t="s">
        <v>125</v>
      </c>
      <c r="J39" s="122"/>
      <c r="K39" s="123"/>
      <c r="L39" s="73" t="s">
        <v>124</v>
      </c>
      <c r="M39" s="118" t="s">
        <v>126</v>
      </c>
      <c r="N39" s="78"/>
      <c r="O39" s="79"/>
      <c r="P39" s="79"/>
      <c r="Q39" s="85"/>
      <c r="R39" s="79"/>
      <c r="S39" s="79"/>
      <c r="T39" s="79"/>
      <c r="U39" s="79"/>
      <c r="V39" s="79"/>
      <c r="W39" s="79"/>
      <c r="X39" s="79"/>
      <c r="Y39" s="79"/>
      <c r="Z39" s="79"/>
      <c r="AA39" s="78"/>
      <c r="AB39" s="79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</row>
    <row r="40" spans="1:58" ht="16.899999999999999" customHeight="1" thickBot="1" x14ac:dyDescent="0.25">
      <c r="A40" s="89"/>
      <c r="B40" s="124"/>
      <c r="C40" s="125" t="s">
        <v>47</v>
      </c>
      <c r="D40" s="109"/>
      <c r="E40" s="126"/>
      <c r="F40" s="122">
        <f>SUM(F9:F39)</f>
        <v>17</v>
      </c>
      <c r="G40" s="122">
        <f>SUM(G9:G39)</f>
        <v>17</v>
      </c>
      <c r="H40" s="122">
        <f>SUM(H9:H39)</f>
        <v>17</v>
      </c>
      <c r="I40" s="122">
        <f>SUM(I9:I39)</f>
        <v>13</v>
      </c>
      <c r="J40" s="122"/>
      <c r="K40" s="122"/>
      <c r="L40" s="123"/>
      <c r="M40" s="111"/>
      <c r="N40" s="78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</row>
    <row r="41" spans="1:58" ht="16.899999999999999" customHeight="1" thickBot="1" x14ac:dyDescent="0.25">
      <c r="A41" s="246" t="s">
        <v>195</v>
      </c>
      <c r="B41" s="246"/>
      <c r="C41" s="246"/>
      <c r="D41" s="84"/>
      <c r="E41" s="84"/>
      <c r="F41" s="225">
        <f>SUM(F40:I40)</f>
        <v>64</v>
      </c>
      <c r="G41" s="226"/>
      <c r="H41" s="226"/>
      <c r="I41" s="227"/>
      <c r="J41" s="127"/>
      <c r="K41" s="127"/>
      <c r="L41" s="128"/>
      <c r="M41" s="78"/>
      <c r="N41" s="78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</row>
    <row r="42" spans="1:58" ht="16.899999999999999" customHeight="1" x14ac:dyDescent="0.2">
      <c r="A42" s="247"/>
      <c r="B42" s="247"/>
      <c r="C42" s="247"/>
      <c r="D42" s="84"/>
      <c r="E42" s="84"/>
      <c r="F42" s="80"/>
      <c r="G42" s="80"/>
      <c r="H42" s="80"/>
      <c r="I42" s="80"/>
      <c r="J42" s="84"/>
      <c r="K42" s="84"/>
      <c r="L42" s="84"/>
      <c r="M42" s="78"/>
      <c r="N42" s="78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</row>
    <row r="43" spans="1:58" ht="16.899999999999999" customHeight="1" x14ac:dyDescent="0.2">
      <c r="A43" s="247"/>
      <c r="B43" s="247"/>
      <c r="C43" s="247"/>
      <c r="D43" s="84"/>
      <c r="N43" s="78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</row>
    <row r="44" spans="1:58" ht="16.899999999999999" customHeight="1" thickBot="1" x14ac:dyDescent="0.25">
      <c r="A44" s="247"/>
      <c r="B44" s="247"/>
      <c r="C44" s="247"/>
      <c r="D44" s="84"/>
      <c r="E44" s="109"/>
      <c r="F44" s="109"/>
      <c r="G44" s="109"/>
      <c r="H44" s="109"/>
      <c r="I44" s="109"/>
      <c r="J44" s="109"/>
      <c r="K44" s="109"/>
      <c r="L44" s="109"/>
      <c r="M44" s="108"/>
      <c r="N44" s="78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</row>
    <row r="45" spans="1:58" ht="16.899999999999999" customHeight="1" x14ac:dyDescent="0.2">
      <c r="A45" s="79"/>
      <c r="D45" s="84"/>
      <c r="E45" s="178" t="s">
        <v>184</v>
      </c>
      <c r="F45" s="179"/>
      <c r="G45" s="179"/>
      <c r="H45" s="179"/>
      <c r="I45" s="179"/>
      <c r="J45" s="179"/>
      <c r="K45" s="179"/>
      <c r="L45" s="179"/>
      <c r="M45" s="180"/>
      <c r="N45" s="78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</row>
    <row r="46" spans="1:58" ht="16.899999999999999" customHeight="1" x14ac:dyDescent="0.2">
      <c r="A46" s="79"/>
      <c r="D46" s="84"/>
      <c r="E46" s="80"/>
      <c r="F46" s="80"/>
      <c r="G46" s="80"/>
      <c r="H46" s="80"/>
      <c r="I46" s="80"/>
      <c r="J46" s="80"/>
      <c r="K46" s="80"/>
      <c r="L46" s="80"/>
      <c r="N46" s="78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</row>
    <row r="47" spans="1:58" ht="16.899999999999999" customHeight="1" thickBot="1" x14ac:dyDescent="0.25">
      <c r="C47" s="79"/>
      <c r="D47" s="84"/>
      <c r="E47" s="109"/>
      <c r="F47" s="109"/>
      <c r="G47" s="109"/>
      <c r="H47" s="109"/>
      <c r="I47" s="109"/>
      <c r="J47" s="109"/>
      <c r="K47" s="109"/>
      <c r="L47" s="109"/>
      <c r="M47" s="108"/>
      <c r="N47" s="78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</row>
    <row r="48" spans="1:58" ht="16.899999999999999" customHeight="1" x14ac:dyDescent="0.2">
      <c r="C48" s="79"/>
      <c r="D48" s="84"/>
      <c r="E48" s="178" t="s">
        <v>185</v>
      </c>
      <c r="F48" s="84"/>
      <c r="G48" s="84"/>
      <c r="H48" s="84"/>
      <c r="I48" s="84"/>
      <c r="J48" s="84"/>
      <c r="K48" s="84"/>
      <c r="L48" s="84"/>
      <c r="M48" s="78"/>
      <c r="N48" s="78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</row>
    <row r="49" spans="3:58" ht="16.899999999999999" customHeight="1" x14ac:dyDescent="0.2">
      <c r="C49" s="79"/>
      <c r="D49" s="84"/>
      <c r="E49" s="84"/>
      <c r="F49" s="84"/>
      <c r="G49" s="84"/>
      <c r="H49" s="84"/>
      <c r="I49" s="84"/>
      <c r="J49" s="84"/>
      <c r="K49" s="84"/>
      <c r="L49" s="84"/>
      <c r="M49" s="78"/>
      <c r="N49" s="78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</row>
    <row r="50" spans="3:58" ht="16.899999999999999" customHeight="1" x14ac:dyDescent="0.2"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78"/>
      <c r="N50" s="78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</row>
    <row r="51" spans="3:58" ht="16.899999999999999" customHeight="1" x14ac:dyDescent="0.2">
      <c r="C51" s="79"/>
      <c r="D51" s="84"/>
      <c r="E51" s="84"/>
      <c r="F51" s="84"/>
      <c r="G51" s="84"/>
      <c r="H51" s="84"/>
      <c r="I51" s="84"/>
      <c r="J51" s="84"/>
      <c r="K51" s="84"/>
      <c r="L51" s="84"/>
      <c r="M51" s="78"/>
      <c r="N51" s="78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</row>
    <row r="52" spans="3:58" ht="16.899999999999999" customHeight="1" x14ac:dyDescent="0.2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7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</row>
    <row r="53" spans="3:58" ht="16.899999999999999" customHeight="1" x14ac:dyDescent="0.2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7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</row>
    <row r="54" spans="3:58" ht="16.899999999999999" customHeight="1" x14ac:dyDescent="0.2">
      <c r="C54" s="79"/>
      <c r="D54" s="84"/>
      <c r="E54" s="84"/>
      <c r="F54" s="84"/>
      <c r="G54" s="84"/>
      <c r="H54" s="84"/>
      <c r="I54" s="84"/>
      <c r="J54" s="84"/>
      <c r="K54" s="84"/>
      <c r="L54" s="84"/>
      <c r="M54" s="78"/>
      <c r="N54" s="78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</row>
    <row r="55" spans="3:58" ht="16.899999999999999" customHeight="1" x14ac:dyDescent="0.2">
      <c r="C55" s="79"/>
      <c r="D55" s="84"/>
      <c r="E55" s="84"/>
      <c r="F55" s="84"/>
      <c r="G55" s="84"/>
      <c r="H55" s="84"/>
      <c r="I55" s="84"/>
      <c r="J55" s="84"/>
      <c r="K55" s="84"/>
      <c r="L55" s="84"/>
      <c r="M55" s="78"/>
      <c r="N55" s="78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</row>
    <row r="56" spans="3:58" ht="16.899999999999999" customHeight="1" x14ac:dyDescent="0.2"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78"/>
      <c r="N56" s="78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</row>
    <row r="57" spans="3:58" ht="16.899999999999999" customHeight="1" x14ac:dyDescent="0.2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78"/>
      <c r="N57" s="78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</row>
    <row r="58" spans="3:58" ht="16.899999999999999" customHeight="1" x14ac:dyDescent="0.2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78"/>
      <c r="N58" s="78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</row>
    <row r="59" spans="3:58" ht="16.899999999999999" customHeight="1" x14ac:dyDescent="0.2">
      <c r="C59" s="79"/>
      <c r="D59" s="84"/>
      <c r="E59" s="84"/>
      <c r="F59" s="84"/>
      <c r="G59" s="84"/>
      <c r="H59" s="84"/>
      <c r="I59" s="84"/>
      <c r="J59" s="84"/>
      <c r="K59" s="84"/>
      <c r="L59" s="84"/>
      <c r="M59" s="78"/>
      <c r="N59" s="78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</row>
    <row r="60" spans="3:58" ht="16.899999999999999" customHeight="1" x14ac:dyDescent="0.2">
      <c r="C60" s="79"/>
      <c r="D60" s="84"/>
      <c r="E60" s="84"/>
      <c r="F60" s="84"/>
      <c r="G60" s="84"/>
      <c r="H60" s="84"/>
      <c r="I60" s="84"/>
      <c r="J60" s="84"/>
      <c r="K60" s="84"/>
      <c r="L60" s="84"/>
      <c r="M60" s="78"/>
      <c r="N60" s="78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</row>
    <row r="61" spans="3:58" ht="16.899999999999999" customHeight="1" x14ac:dyDescent="0.2">
      <c r="C61" s="79"/>
      <c r="D61" s="84"/>
      <c r="E61" s="84"/>
      <c r="F61" s="84"/>
      <c r="G61" s="84"/>
      <c r="H61" s="84"/>
      <c r="I61" s="84"/>
      <c r="J61" s="84"/>
      <c r="K61" s="84"/>
      <c r="L61" s="84"/>
      <c r="M61" s="78"/>
      <c r="N61" s="78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</row>
    <row r="62" spans="3:58" ht="16.899999999999999" customHeight="1" x14ac:dyDescent="0.2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78"/>
      <c r="N62" s="78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</row>
    <row r="63" spans="3:58" ht="16.899999999999999" customHeight="1" x14ac:dyDescent="0.2">
      <c r="C63" s="79"/>
      <c r="D63" s="84"/>
      <c r="E63" s="84"/>
      <c r="F63" s="84"/>
      <c r="G63" s="84"/>
      <c r="H63" s="84"/>
      <c r="I63" s="84"/>
      <c r="J63" s="84"/>
      <c r="K63" s="84"/>
      <c r="L63" s="84"/>
      <c r="M63" s="78"/>
      <c r="N63" s="78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</row>
    <row r="64" spans="3:58" ht="16.899999999999999" customHeight="1" x14ac:dyDescent="0.2">
      <c r="C64" s="79"/>
      <c r="D64" s="84"/>
      <c r="E64" s="84"/>
      <c r="F64" s="84"/>
      <c r="G64" s="84"/>
      <c r="H64" s="84"/>
      <c r="I64" s="84"/>
      <c r="J64" s="84"/>
      <c r="K64" s="84"/>
      <c r="L64" s="84"/>
      <c r="M64" s="78"/>
      <c r="N64" s="78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</row>
    <row r="65" spans="3:58" ht="16.899999999999999" customHeight="1" x14ac:dyDescent="0.2">
      <c r="C65" s="79"/>
      <c r="D65" s="84"/>
      <c r="E65" s="84"/>
      <c r="F65" s="84"/>
      <c r="G65" s="84"/>
      <c r="H65" s="84"/>
      <c r="I65" s="84"/>
      <c r="J65" s="84"/>
      <c r="K65" s="84"/>
      <c r="L65" s="84"/>
      <c r="M65" s="78"/>
      <c r="N65" s="78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</row>
    <row r="66" spans="3:58" ht="16.899999999999999" customHeight="1" x14ac:dyDescent="0.2">
      <c r="C66" s="79"/>
      <c r="D66" s="84"/>
      <c r="E66" s="84"/>
      <c r="F66" s="84"/>
      <c r="G66" s="84"/>
      <c r="H66" s="84"/>
      <c r="I66" s="84"/>
      <c r="J66" s="84"/>
      <c r="K66" s="84"/>
      <c r="L66" s="84"/>
      <c r="M66" s="78"/>
      <c r="N66" s="78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</row>
    <row r="67" spans="3:58" ht="16.899999999999999" customHeight="1" x14ac:dyDescent="0.2">
      <c r="C67" s="79"/>
      <c r="D67" s="84"/>
      <c r="E67" s="84"/>
      <c r="F67" s="84"/>
      <c r="G67" s="84"/>
      <c r="H67" s="84"/>
      <c r="I67" s="84"/>
      <c r="J67" s="84"/>
      <c r="K67" s="84"/>
      <c r="L67" s="84"/>
      <c r="M67" s="78"/>
      <c r="N67" s="78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</row>
    <row r="68" spans="3:58" ht="16.899999999999999" customHeight="1" x14ac:dyDescent="0.2">
      <c r="C68" s="79"/>
      <c r="D68" s="84"/>
      <c r="E68" s="84"/>
      <c r="F68" s="84"/>
      <c r="G68" s="84"/>
      <c r="H68" s="84"/>
      <c r="I68" s="84"/>
      <c r="J68" s="84"/>
      <c r="K68" s="84"/>
      <c r="L68" s="84"/>
      <c r="M68" s="78"/>
      <c r="N68" s="78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</row>
    <row r="69" spans="3:58" ht="16.899999999999999" customHeight="1" x14ac:dyDescent="0.2">
      <c r="C69" s="79"/>
      <c r="D69" s="84"/>
      <c r="E69" s="84"/>
      <c r="F69" s="84"/>
      <c r="G69" s="84"/>
      <c r="H69" s="84"/>
      <c r="I69" s="84"/>
      <c r="J69" s="84"/>
      <c r="K69" s="84"/>
      <c r="L69" s="84"/>
      <c r="M69" s="78"/>
      <c r="N69" s="78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</row>
    <row r="70" spans="3:58" ht="16.899999999999999" customHeight="1" x14ac:dyDescent="0.2">
      <c r="C70" s="79"/>
      <c r="D70" s="84"/>
      <c r="E70" s="84"/>
      <c r="F70" s="84"/>
      <c r="G70" s="84"/>
      <c r="H70" s="84"/>
      <c r="I70" s="84"/>
      <c r="J70" s="84"/>
      <c r="K70" s="84"/>
      <c r="L70" s="84"/>
      <c r="M70" s="78"/>
      <c r="N70" s="78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</row>
    <row r="71" spans="3:58" ht="16.899999999999999" customHeight="1" x14ac:dyDescent="0.2">
      <c r="C71" s="79"/>
      <c r="D71" s="84"/>
      <c r="E71" s="84"/>
      <c r="F71" s="84"/>
      <c r="G71" s="84"/>
      <c r="H71" s="84"/>
      <c r="I71" s="84"/>
      <c r="J71" s="84"/>
      <c r="K71" s="84"/>
      <c r="L71" s="84"/>
      <c r="M71" s="78"/>
      <c r="N71" s="78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</row>
    <row r="72" spans="3:58" ht="16.899999999999999" customHeight="1" x14ac:dyDescent="0.2">
      <c r="C72" s="79"/>
      <c r="D72" s="84"/>
      <c r="E72" s="84"/>
      <c r="F72" s="84"/>
      <c r="G72" s="84"/>
      <c r="H72" s="84"/>
      <c r="I72" s="84"/>
      <c r="J72" s="84"/>
      <c r="K72" s="84"/>
      <c r="L72" s="84"/>
      <c r="M72" s="78"/>
      <c r="N72" s="78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</row>
  </sheetData>
  <sheetProtection algorithmName="SHA-512" hashValue="IdPOe3ps75UDNgOv11L/XOZsjPJ//8z9xfLuMDowESp3GJxptAVPLMDkU2aBBQ9ik2HvSDKEMLlkZmoBiFebjw==" saltValue="7FQ7k412K0+mi09ItoJZWg==" spinCount="100000" sheet="1" selectLockedCells="1"/>
  <mergeCells count="38">
    <mergeCell ref="B25:C25"/>
    <mergeCell ref="A41:C44"/>
    <mergeCell ref="B38:E38"/>
    <mergeCell ref="B39:E39"/>
    <mergeCell ref="B34:C34"/>
    <mergeCell ref="B35:C35"/>
    <mergeCell ref="B24:C24"/>
    <mergeCell ref="B31:C31"/>
    <mergeCell ref="B32:C32"/>
    <mergeCell ref="B33:C33"/>
    <mergeCell ref="I1:M1"/>
    <mergeCell ref="I2:M2"/>
    <mergeCell ref="L7:M8"/>
    <mergeCell ref="B9:C9"/>
    <mergeCell ref="B20:C20"/>
    <mergeCell ref="F6:I6"/>
    <mergeCell ref="F7:I7"/>
    <mergeCell ref="B10:C10"/>
    <mergeCell ref="B11:C11"/>
    <mergeCell ref="B19:C19"/>
    <mergeCell ref="J7:J8"/>
    <mergeCell ref="K7:K8"/>
    <mergeCell ref="B15:C15"/>
    <mergeCell ref="F41:I41"/>
    <mergeCell ref="D7:D8"/>
    <mergeCell ref="E7:E8"/>
    <mergeCell ref="B12:C12"/>
    <mergeCell ref="B13:C13"/>
    <mergeCell ref="B22:C22"/>
    <mergeCell ref="B26:C26"/>
    <mergeCell ref="B28:C28"/>
    <mergeCell ref="B29:C29"/>
    <mergeCell ref="B18:C18"/>
    <mergeCell ref="B27:C27"/>
    <mergeCell ref="B14:C14"/>
    <mergeCell ref="B21:C21"/>
    <mergeCell ref="B16:C16"/>
    <mergeCell ref="B23:C23"/>
  </mergeCells>
  <conditionalFormatting sqref="B19:B29 B9:B16">
    <cfRule type="expression" dxfId="6" priority="96" stopIfTrue="1">
      <formula>OR(#REF!="s",#REF!="S")</formula>
    </cfRule>
    <cfRule type="expression" dxfId="5" priority="97" stopIfTrue="1">
      <formula>OR(#REF!="c",#REF!="C")</formula>
    </cfRule>
  </conditionalFormatting>
  <conditionalFormatting sqref="O18 Q18 M18:M20 O22 M22:M25">
    <cfRule type="cellIs" dxfId="4" priority="23" stopIfTrue="1" operator="equal">
      <formula>FALSE</formula>
    </cfRule>
  </conditionalFormatting>
  <conditionalFormatting sqref="A6">
    <cfRule type="expression" priority="5" stopIfTrue="1">
      <formula>OR($D$6&gt;0)</formula>
    </cfRule>
  </conditionalFormatting>
  <conditionalFormatting sqref="F4">
    <cfRule type="cellIs" dxfId="3" priority="2" stopIfTrue="1" operator="equal">
      <formula>FALSE</formula>
    </cfRule>
    <cfRule type="expression" dxfId="2" priority="3" stopIfTrue="1">
      <formula>AND(B4="eth",OR(B3="k",B3="ev"),OR(XFA15="S",XFA15="C"))</formula>
    </cfRule>
  </conditionalFormatting>
  <conditionalFormatting sqref="M4">
    <cfRule type="expression" dxfId="1" priority="1" stopIfTrue="1">
      <formula>AND(I5="eth",I4&lt;&gt;"eth")</formula>
    </cfRule>
  </conditionalFormatting>
  <conditionalFormatting sqref="C6">
    <cfRule type="expression" dxfId="0" priority="134" stopIfTrue="1">
      <formula>OR($M$34="x",$M$35="x",$M$36="x")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blackAndWhite="1" verticalDpi="599" r:id="rId1"/>
  <headerFooter alignWithMargins="0"/>
  <ignoredErrors>
    <ignoredError sqref="F35:I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1. Informationen zur Fächerwahl</vt:lpstr>
      <vt:lpstr>2. Wahl ausfüllen</vt:lpstr>
      <vt:lpstr>3. Druckversion der Fächerwahl</vt:lpstr>
      <vt:lpstr>'1. Informationen zur Fächerwahl'!Druckbereich</vt:lpstr>
      <vt:lpstr>'3. Druckversion der Fächerwahl'!Druckbereich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</dc:creator>
  <cp:lastModifiedBy>oberstufe</cp:lastModifiedBy>
  <cp:lastPrinted>2021-10-18T10:43:09Z</cp:lastPrinted>
  <dcterms:created xsi:type="dcterms:W3CDTF">2008-10-29T09:16:14Z</dcterms:created>
  <dcterms:modified xsi:type="dcterms:W3CDTF">2021-11-15T08:05:08Z</dcterms:modified>
</cp:coreProperties>
</file>